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c14a4a5dd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e60ad3f557746fe"/>
    <x:sheet xmlns:r="http://schemas.openxmlformats.org/officeDocument/2006/relationships" name="Model" sheetId="2" r:id="R774407c5cece47eb"/>
    <x:sheet xmlns:r="http://schemas.openxmlformats.org/officeDocument/2006/relationships" name="Assumptions" sheetId="3" r:id="R31d8e11e56484d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.000"/>
    <x:numFmt numFmtId="202" formatCode="#,##0;(#,##0);&quot;—&quot;"/>
    <x:numFmt numFmtId="203" formatCode="0.0%"/>
    <x:numFmt numFmtId="204" formatCode="0.00&quot;x&quot;"/>
  </x:numFmts>
  <x:fonts count="6">
    <x:font>
      <x:sz val="11"/>
      <x:name val="Carlito"/>
    </x:font>
    <x:font>
      <x:sz val="10"/>
      <x:color rgb="FF171B1C"/>
      <x:name val="Arial"/>
    </x:font>
    <x:font>
      <x:b/>
      <x:sz val="18"/>
      <x:color rgb="FF171B1C"/>
      <x:name val="Arial"/>
    </x:font>
    <x:font>
      <x:sz val="10"/>
      <x:color rgb="FF1755A0"/>
      <x:name val="Arial"/>
    </x:font>
    <x:font>
      <x:b/>
      <x:sz val="10"/>
      <x:color rgb="FFFFFFFF"/>
      <x:name val="Arial"/>
    </x:font>
    <x:font>
      <x:sz val="10"/>
      <x:color rgb="FF21734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1B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3" fillId="0" borderId="0" xfId="0" applyNumberFormat="1" applyFont="1" applyFill="1" applyBorder="1"/>
    <x:xf numFmtId="201" fontId="1" fillId="0" borderId="0" xfId="0" applyNumberFormat="1" applyFont="1" applyFill="1" applyBorder="1"/>
    <x:xf numFmtId="202" fontId="3" fillId="0" borderId="0" xfId="0" applyNumberFormat="1" applyFont="1" applyFill="1" applyBorder="1"/>
    <x:xf numFmtId="202" fontId="1" fillId="0" borderId="0" xfId="0" applyNumberFormat="1" applyFont="1" applyFill="1" applyBorder="1"/>
    <x:xf numFmtId="203" fontId="3" fillId="0" borderId="0" xfId="0" applyNumberFormat="1" applyFont="1" applyFill="1" applyBorder="1"/>
    <x:xf numFmtId="203" fontId="1" fillId="0" borderId="0" xfId="0" applyNumberFormat="1" applyFont="1" applyFill="1" applyBorder="1"/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200" fontId="5" fillId="0" borderId="0" xfId="0" applyNumberFormat="1" applyFont="1" applyFill="1" applyBorder="1"/>
    <x:xf numFmtId="204" fontId="1" fillId="0" borderId="0" xfId="0" applyNumberFormat="1" applyFont="1" applyFill="1" applyBorder="1"/>
    <x:xf numFmtId="203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4d943bb7845bd" /><Relationship Type="http://schemas.openxmlformats.org/officeDocument/2006/relationships/theme" Target="/xl/theme/theme1.xml" Id="Raeaf6ae4d1f049d6" /><Relationship Type="http://schemas.openxmlformats.org/officeDocument/2006/relationships/sharedStrings" Target="/xl/sharedStrings.xml" Id="Raf14f251f2d34ddf" /><Relationship Type="http://schemas.openxmlformats.org/officeDocument/2006/relationships/worksheet" Target="/xl/worksheets/sheet1.xml" Id="Rce60ad3f557746fe" /><Relationship Type="http://schemas.openxmlformats.org/officeDocument/2006/relationships/worksheet" Target="/xl/worksheets/sheet2.xml" Id="R774407c5cece47eb" /><Relationship Type="http://schemas.openxmlformats.org/officeDocument/2006/relationships/worksheet" Target="/xl/worksheets/sheet3.xml" Id="R31d8e11e56484d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b43310944154d80" /><Relationship Type="http://schemas.openxmlformats.org/officeDocument/2006/relationships/chart" Target="/xl/drawings/charts/chart1.xml" Id="Re3ff4e00e0a641d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f2264ae314249b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4d33a7ba1244e0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and EBITDA · first five operating years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Revenue</c:v>
          </c:tx>
          <c:invertIfNegative val="0"/>
          <c:cat>
            <c:strRef>
              <c:f>'Summary'!$C$44:$C$48</c:f>
              <c:strCache>
                <c:ptCount val="0"/>
              </c:strCache>
            </c:strRef>
          </c:cat>
          <c:val>
            <c:numRef>
              <c:f>'Summary'!$D$44:$D$48</c:f>
              <c:numCache>
                <c:formatCode>$0.0,,"M"</c:formatCode>
                <c:ptCount val="0"/>
              </c:numCache>
            </c:numRef>
          </c:val>
        </c:ser>
        <c:ser>
          <c:idx val="1"/>
          <c:order val="1"/>
          <c:tx>
            <c:v>EBITDA</c:v>
          </c:tx>
          <c:invertIfNegative val="0"/>
          <c:cat>
            <c:strRef>
              <c:f>'Summary'!$C$44:$C$48</c:f>
              <c:strCache>
                <c:ptCount val="0"/>
              </c:strCache>
            </c:strRef>
          </c:cat>
          <c:val>
            <c:numRef>
              <c:f>'Summary'!$E$44:$E$48</c:f>
              <c:numCache>
                <c:formatCode>$0.0,,"M"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.0,,&quot;M&quot;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3ff4e00e0a641d8"/>
        </a:graphicData>
      </a:graphic>
    </xdr:graphicFrame>
    <xdr:clientData/>
  </xdr:twoCellAnchor>
  <xdr:oneCellAnchor>
    <xdr:from>
      <xdr:col>10</xdr:col>
      <xdr:colOff>0</xdr:colOff>
      <xdr:row>0</xdr:row>
      <xdr:rowOff>0</xdr:rowOff>
    </xdr:from>
    <xdr:ext cx="1905000" cy="657225"/>
    <xdr:pic>
      <xdr:nvPicPr>
        <xdr:cNvPr id="2" name="ef55de8b-8371-4074-a0b7-c8aa8b5dcb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43310944154d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10</xdr:col>
      <xdr:colOff>0</xdr:colOff>
      <xdr:row>0</xdr:row>
      <xdr:rowOff>0</xdr:rowOff>
    </xdr:from>
    <xdr:ext cx="1905000" cy="657225"/>
    <xdr:pic>
      <xdr:nvPicPr>
        <xdr:cNvPr id="1" name="cbfb1744-db33-4201-a1b8-2a6f0b9641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2264ae314249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10</xdr:col>
      <xdr:colOff>0</xdr:colOff>
      <xdr:row>0</xdr:row>
      <xdr:rowOff>0</xdr:rowOff>
    </xdr:from>
    <xdr:ext cx="1905000" cy="657225"/>
    <xdr:pic>
      <xdr:nvPicPr>
        <xdr:cNvPr id="1" name="b0fdb5a9-7479-4fa1-939a-6437f3ab7c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d33a7ba1244e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76e8e4da8764dc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accfabb81284b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83e7a9779a7e47c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3" customHeight="1">
      <x:c r="A2" s="1"/>
      <x:c r="B2" s="1"/>
      <x:c r="C2" s="2" t="str">
        <x:v>Data center | Project finance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3" customHeight="1">
      <x:c r="A4" s="1"/>
      <x:c r="B4" s="1"/>
      <x:c r="C4" s="1" t="str">
        <x:v>LUNA1 RESEARCH · Independent educational work sample · October 2026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3" customHeight="1">
      <x:c r="A6" s="1"/>
      <x:c r="B6" s="1"/>
      <x:c r="C6" s="1" t="str">
        <x:v>HYPOTHETICAL CASE · USD · Select the active case on Assumptions!E5.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32" customHeight="1">
      <x:c r="A8" s="1"/>
      <x:c r="B8" s="1"/>
      <x:c r="C8" s="6" t="str">
        <x:v>Decision metric</x:v>
      </x:c>
      <x:c r="D8" s="6" t="str">
        <x:v>Value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3" customHeight="1">
      <x:c r="A9" s="1"/>
      <x:c r="B9" s="1"/>
      <x:c r="C9" s="1" t="str">
        <x:v>Project NPV</x:v>
      </x:c>
      <x:c r="D9" s="16" t="n">
        <x:f>Model!E74</x:f>
        <x:v>-12177305.005744815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3" customHeight="1">
      <x:c r="A10" s="1"/>
      <x:c r="B10" s="1"/>
      <x:c r="C10" s="1" t="str">
        <x:v>Project IRR</x:v>
      </x:c>
      <x:c r="D10" s="19" t="n">
        <x:f>Model!E75</x:f>
        <x:v>0.06828651045149954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3" customHeight="1">
      <x:c r="A11" s="1"/>
      <x:c r="B11" s="1"/>
      <x:c r="C11" s="1" t="str">
        <x:v>Equity IRR</x:v>
      </x:c>
      <x:c r="D11" s="19" t="n">
        <x:f>Model!E76</x:f>
        <x:v>0.06985752698257477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3" customHeight="1">
      <x:c r="A12" s="1"/>
      <x:c r="B12" s="1"/>
      <x:c r="C12" s="1" t="str">
        <x:v>Minimum operating DSCR</x:v>
      </x:c>
      <x:c r="D12" s="17" t="n">
        <x:f>Model!E77</x:f>
        <x:v>0.866652936021034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3" customHeight="1">
      <x:c r="A13" s="1"/>
      <x:c r="B13" s="1"/>
      <x:c r="C13" s="1" t="str">
        <x:v>Average operating DSCR</x:v>
      </x:c>
      <x:c r="D13" s="17" t="n">
        <x:f>Model!E78</x:f>
        <x:v>1.9994299517360332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3" customHeight="1">
      <x:c r="A14" s="1"/>
      <x:c r="B14" s="1"/>
      <x:c r="C14" s="1" t="str">
        <x:v>Operating payback · years</x:v>
      </x:c>
      <x:c r="D14" s="17" t="n">
        <x:f>Model!E79</x:f>
        <x:v>10.402965563424708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3" customHeight="1">
      <x:c r="A15" s="1"/>
      <x:c r="B15" s="1"/>
      <x:c r="C15" s="1" t="str">
        <x:v>Years below screening threshold</x:v>
      </x:c>
      <x:c r="D15" s="16" t="n">
        <x:f>Model!E81</x:f>
        <x:v>2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3" customHeight="1">
      <x:c r="A16" s="1"/>
      <x:c r="B16" s="1"/>
      <x:c r="C16" s="1" t="str">
        <x:v>Additional operating equity</x:v>
      </x:c>
      <x:c r="D16" s="16" t="n">
        <x:f>Model!E80</x:f>
        <x:v>539403.3333333342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3" customHeight="1">
      <x:c r="A17" s="1"/>
      <x:c r="B17" s="1"/>
      <x:c r="C17" s="1"/>
      <x:c r="D17" s="12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3" customHeight="1">
      <x:c r="A18" s="1"/>
      <x:c r="B18" s="1"/>
      <x:c r="C18" s="1"/>
      <x:c r="D18" s="12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3" customHeight="1">
      <x:c r="A19" s="1"/>
      <x:c r="B19" s="1"/>
      <x:c r="C19" s="1" t="str">
        <x:v>Total development cost</x:v>
      </x:c>
      <x:c r="D19" s="16" t="n">
        <x:f>Model!E59</x:f>
        <x:v>52500000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3" customHeight="1">
      <x:c r="A20" s="1"/>
      <x:c r="B20" s="1"/>
      <x:c r="C20" s="1" t="str">
        <x:v>Financing fees</x:v>
      </x:c>
      <x:c r="D20" s="16" t="n">
        <x:f>Model!E61</x:f>
        <x:v>420000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3" customHeight="1">
      <x:c r="A21" s="1"/>
      <x:c r="B21" s="1"/>
      <x:c r="C21" s="1" t="str">
        <x:v>Construction interest</x:v>
      </x:c>
      <x:c r="D21" s="16" t="n">
        <x:f>Model!E62</x:f>
        <x:v>1470000.0000000002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3" customHeight="1">
      <x:c r="A22" s="1"/>
      <x:c r="B22" s="1"/>
      <x:c r="C22" s="1" t="str">
        <x:v>Total uses</x:v>
      </x:c>
      <x:c r="D22" s="16" t="n">
        <x:f>Model!E63</x:f>
        <x:v>54390000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3" customHeight="1">
      <x:c r="A23" s="1"/>
      <x:c r="B23" s="1"/>
      <x:c r="C23" s="1"/>
      <x:c r="D23" s="12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3" customHeight="1">
      <x:c r="A24" s="1"/>
      <x:c r="B24" s="1"/>
      <x:c r="C24" s="1" t="str">
        <x:v>Debt commitment</x:v>
      </x:c>
      <x:c r="D24" s="16" t="n">
        <x:f>Model!E60</x:f>
        <x:v>21000000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3" customHeight="1">
      <x:c r="A25" s="1"/>
      <x:c r="B25" s="1"/>
      <x:c r="C25" s="1" t="str">
        <x:v>Sponsor construction equity</x:v>
      </x:c>
      <x:c r="D25" s="16" t="n">
        <x:f>Model!E64</x:f>
        <x:v>33390000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3" customHeight="1">
      <x:c r="A26" s="1"/>
      <x:c r="B26" s="1"/>
      <x:c r="C26" s="1" t="str">
        <x:v>Sources less uses · check</x:v>
      </x:c>
      <x:c r="D26" s="16" t="n">
        <x:f>Model!E82</x:f>
        <x:v>0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3" customHeight="1">
      <x:c r="A29" s="1"/>
      <x:c r="B29" s="1"/>
      <x:c r="C29" s="1" t="str">
        <x:v>Reading the base case: NPV is negative and early coverage is below the assumed 1.20x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3" customHeight="1">
      <x:c r="A30" s="1"/>
      <x:c r="B30" s="1"/>
      <x:c r="C30" s="1" t="str">
        <x:v>screening threshold. Consider staging capacity, more sponsor equity or longer amortization.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3" customHeight="1">
      <x:c r="A32" s="1"/>
      <x:c r="B32" s="1"/>
      <x:c r="C32" s="1" t="str">
        <x:v>Method: annual cash flows; sponsor-funded construction interest and fees; tax at assumed rate.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3" customHeight="1">
      <x:c r="A33" s="1"/>
      <x:c r="B33" s="1"/>
      <x:c r="C33" s="1" t="str">
        <x:v>No loss carryforwards, tax depreciation on recurring CapEx, reserves, refinancing or cash sweep.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3" customHeight="1">
      <x:c r="A34" s="1"/>
      <x:c r="B34" s="1"/>
      <x:c r="C34" s="1" t="str">
        <x:v>Exit includes after-tax sale proceeds and released working capital; excluded from CFADS.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3" customHeight="1">
      <x:c r="A35" s="1"/>
      <x:c r="B35" s="1"/>
      <x:c r="C35" s="1" t="str">
        <x:v>IRR is unavailable for nonconventional cash flows. Payback excludes terminal cash.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3" customHeight="1">
      <x:c r="A37" s="1"/>
      <x:c r="B37" s="1"/>
      <x:c r="C37" s="1" t="str">
        <x:v>Edit blue assumptions within the website’s documented bounds (life 5–30, construction 1–5).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3" customHeight="1">
      <x:c r="A38" s="1"/>
      <x:c r="B38" s="1"/>
      <x:c r="C38" s="1" t="str">
        <x:v>Debt term must exceed grace and cannot exceed operating life. Blank inputs are not valid.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3" customHeight="1">
      <x:c r="A40" s="1"/>
      <x:c r="B40" s="1"/>
      <x:c r="C40" s="1" t="str">
        <x:v>Independent educational analysis; not an investment recommendation or financing commitment.</x:v>
      </x:c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32" customHeight="1">
      <x:c r="A43" s="1"/>
      <x:c r="B43" s="1"/>
      <x:c r="C43" s="6" t="str">
        <x:v>Operating year</x:v>
      </x:c>
      <x:c r="D43" s="6" t="str">
        <x:v>Revenue</x:v>
      </x:c>
      <x:c r="E43" s="6" t="str">
        <x:v>EBITDA</x:v>
      </x:c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3" customHeight="1">
      <x:c r="A44" s="1"/>
      <x:c r="B44" s="1"/>
      <x:c r="C44" s="1" t="n">
        <x:v>1</x:v>
      </x:c>
      <x:c r="D44" s="15" t="n">
        <x:f>INDEX(Model!E19:AN19,1,Assumptions!$H$15+C44+1)</x:f>
        <x:v>6000000</x:v>
      </x:c>
      <x:c r="E44" s="15" t="n">
        <x:f>INDEX(Model!E21:AN21,1,Assumptions!$H$15+C44+1)</x:f>
        <x:v>1987760</x:v>
      </x:c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3" customHeight="1">
      <x:c r="A45" s="1"/>
      <x:c r="B45" s="1"/>
      <x:c r="C45" s="1" t="n">
        <x:v>2</x:v>
      </x:c>
      <x:c r="D45" s="15" t="n">
        <x:f>INDEX(Model!E19:AN19,1,Assumptions!$H$15+C45+1)</x:f>
        <x:v>8415000</x:v>
      </x:c>
      <x:c r="E45" s="15" t="n">
        <x:f>INDEX(Model!E21:AN21,1,Assumptions!$H$15+C45+1)</x:f>
        <x:v>3666920</x:v>
      </x:c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3" customHeight="1">
      <x:c r="A46" s="1"/>
      <x:c r="B46" s="1"/>
      <x:c r="C46" s="1" t="n">
        <x:v>3</x:v>
      </x:c>
      <x:c r="D46" s="15" t="n">
        <x:f>INDEX(Model!E19:AN19,1,Assumptions!$H$15+C46+1)</x:f>
        <x:v>10924200</x:v>
      </x:c>
      <x:c r="E46" s="15" t="n">
        <x:f>INDEX(Model!E21:AN21,1,Assumptions!$H$15+C46+1)</x:f>
        <x:v>5440280</x:v>
      </x:c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3" customHeight="1">
      <x:c r="A47" s="1"/>
      <x:c r="B47" s="1"/>
      <x:c r="C47" s="1" t="n">
        <x:v>4</x:v>
      </x:c>
      <x:c r="D47" s="15" t="n">
        <x:f>INDEX(Model!E19:AN19,1,Assumptions!$H$15+C47+1)</x:f>
        <x:v>13052858.400000002</x:v>
      </x:c>
      <x:c r="E47" s="15" t="n">
        <x:f>INDEX(Model!E21:AN21,1,Assumptions!$H$15+C47+1)</x:f>
        <x:v>6980266.400000002</x:v>
      </x:c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3" customHeight="1">
      <x:c r="A48" s="1"/>
      <x:c r="B48" s="1"/>
      <x:c r="C48" s="1" t="n">
        <x:v>5</x:v>
      </x:c>
      <x:c r="D48" s="15" t="n">
        <x:f>INDEX(Model!E19:AN19,1,Assumptions!$H$15+C48+1)</x:f>
        <x:v>14612834.16</x:v>
      </x:c>
      <x:c r="E48" s="15" t="n">
        <x:f>INDEX(Model!E21:AN21,1,Assumptions!$H$15+C48+1)</x:f>
        <x:v>8147794.16</x:v>
      </x:c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</x:sheetData>
  <x:pageMargins left="0.7" right="0.7" top="0.75" bottom="0.75" header="0.3" footer="0.3"/>
  <x:drawing xmlns:r="http://schemas.openxmlformats.org/officeDocument/2006/relationships" r:id="R376e8e4da8764dca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</x:row>
    <x:row r="2" ht="23" customHeight="1">
      <x:c r="A2" s="1"/>
      <x:c r="B2" s="1"/>
      <x:c r="C2" s="2" t="str">
        <x:v>Annual operating &amp; financing model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</x:row>
    <x:row r="4" ht="23" customHeight="1">
      <x:c r="A4" s="1"/>
      <x:c r="B4" s="1"/>
      <x:c r="C4" s="1" t="str">
        <x:v>LUNA1 RESEARCH · Independent educational work sample · October 2026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</x:row>
    <x:row r="8" ht="23" customHeight="1">
      <x:c r="A8" s="1"/>
      <x:c r="B8" s="1"/>
      <x:c r="C8" s="1" t="str">
        <x:v>Year</x:v>
      </x:c>
      <x:c r="D8" s="1"/>
      <x:c r="E8" s="1" t="n">
        <x:f>0</x:f>
        <x:v>0</x:v>
      </x:c>
      <x:c r="F8" s="1" t="n">
        <x:f>1</x:f>
        <x:v>1</x:v>
      </x:c>
      <x:c r="G8" s="1" t="n">
        <x:f>2</x:f>
        <x:v>2</x:v>
      </x:c>
      <x:c r="H8" s="1" t="n">
        <x:f>3</x:f>
        <x:v>3</x:v>
      </x:c>
      <x:c r="I8" s="1" t="n">
        <x:f>4</x:f>
        <x:v>4</x:v>
      </x:c>
      <x:c r="J8" s="1" t="n">
        <x:f>5</x:f>
        <x:v>5</x:v>
      </x:c>
      <x:c r="K8" s="1" t="n">
        <x:f>6</x:f>
        <x:v>6</x:v>
      </x:c>
      <x:c r="L8" s="1" t="n">
        <x:f>7</x:f>
        <x:v>7</x:v>
      </x:c>
      <x:c r="M8" s="1" t="n">
        <x:f>8</x:f>
        <x:v>8</x:v>
      </x:c>
      <x:c r="N8" s="1" t="n">
        <x:f>9</x:f>
        <x:v>9</x:v>
      </x:c>
      <x:c r="O8" s="1" t="n">
        <x:f>10</x:f>
        <x:v>10</x:v>
      </x:c>
      <x:c r="P8" s="1" t="n">
        <x:f>11</x:f>
        <x:v>11</x:v>
      </x:c>
      <x:c r="Q8" s="1" t="n">
        <x:f>12</x:f>
        <x:v>12</x:v>
      </x:c>
      <x:c r="R8" s="1" t="n">
        <x:f>13</x:f>
        <x:v>13</x:v>
      </x:c>
      <x:c r="S8" s="1" t="n">
        <x:f>14</x:f>
        <x:v>14</x:v>
      </x:c>
      <x:c r="T8" s="1" t="n">
        <x:f>15</x:f>
        <x:v>15</x:v>
      </x:c>
      <x:c r="U8" s="1" t="n">
        <x:f>16</x:f>
        <x:v>16</x:v>
      </x:c>
      <x:c r="V8" s="1" t="n">
        <x:f>17</x:f>
        <x:v>17</x:v>
      </x:c>
      <x:c r="W8" s="1" t="n">
        <x:f>18</x:f>
        <x:v>18</x:v>
      </x:c>
      <x:c r="X8" s="1" t="n">
        <x:f>19</x:f>
        <x:v>19</x:v>
      </x:c>
      <x:c r="Y8" s="1" t="n">
        <x:f>20</x:f>
        <x:v>20</x:v>
      </x:c>
      <x:c r="Z8" s="1" t="n">
        <x:f>21</x:f>
        <x:v>21</x:v>
      </x:c>
      <x:c r="AA8" s="1" t="n">
        <x:f>22</x:f>
        <x:v>22</x:v>
      </x:c>
      <x:c r="AB8" s="1" t="n">
        <x:f>23</x:f>
        <x:v>23</x:v>
      </x:c>
      <x:c r="AC8" s="1" t="n">
        <x:f>24</x:f>
        <x:v>24</x:v>
      </x:c>
      <x:c r="AD8" s="1" t="n">
        <x:f>25</x:f>
        <x:v>25</x:v>
      </x:c>
      <x:c r="AE8" s="1" t="n">
        <x:f>26</x:f>
        <x:v>26</x:v>
      </x:c>
      <x:c r="AF8" s="1" t="n">
        <x:f>27</x:f>
        <x:v>27</x:v>
      </x:c>
      <x:c r="AG8" s="1" t="n">
        <x:f>28</x:f>
        <x:v>28</x:v>
      </x:c>
      <x:c r="AH8" s="1" t="n">
        <x:f>29</x:f>
        <x:v>29</x:v>
      </x:c>
      <x:c r="AI8" s="1" t="n">
        <x:f>30</x:f>
        <x:v>30</x:v>
      </x:c>
      <x:c r="AJ8" s="1" t="n">
        <x:f>31</x:f>
        <x:v>31</x:v>
      </x:c>
      <x:c r="AK8" s="1" t="n">
        <x:f>32</x:f>
        <x:v>32</x:v>
      </x:c>
      <x:c r="AL8" s="1" t="n">
        <x:f>33</x:f>
        <x:v>33</x:v>
      </x:c>
      <x:c r="AM8" s="1" t="n">
        <x:f>34</x:f>
        <x:v>34</x:v>
      </x:c>
      <x:c r="AN8" s="1" t="n">
        <x:f>35</x:f>
        <x:v>35</x:v>
      </x:c>
      <x:c r="AO8" s="1"/>
    </x:row>
    <x:row r="9" ht="23" customHeight="1">
      <x:c r="A9" s="1"/>
      <x:c r="B9" s="1"/>
      <x:c r="C9" s="1" t="str">
        <x:v>Operating year</x:v>
      </x:c>
      <x:c r="D9" s="1"/>
      <x:c r="E9" s="15" t="n">
        <x:f>E8-Assumptions!$H$15</x:f>
        <x:v>-1</x:v>
      </x:c>
      <x:c r="F9" s="15" t="n">
        <x:f>F8-Assumptions!$H$15</x:f>
        <x:v>0</x:v>
      </x:c>
      <x:c r="G9" s="15" t="n">
        <x:f>G8-Assumptions!$H$15</x:f>
        <x:v>1</x:v>
      </x:c>
      <x:c r="H9" s="15" t="n">
        <x:f>H8-Assumptions!$H$15</x:f>
        <x:v>2</x:v>
      </x:c>
      <x:c r="I9" s="15" t="n">
        <x:f>I8-Assumptions!$H$15</x:f>
        <x:v>3</x:v>
      </x:c>
      <x:c r="J9" s="15" t="n">
        <x:f>J8-Assumptions!$H$15</x:f>
        <x:v>4</x:v>
      </x:c>
      <x:c r="K9" s="15" t="n">
        <x:f>K8-Assumptions!$H$15</x:f>
        <x:v>5</x:v>
      </x:c>
      <x:c r="L9" s="15" t="n">
        <x:f>L8-Assumptions!$H$15</x:f>
        <x:v>6</x:v>
      </x:c>
      <x:c r="M9" s="15" t="n">
        <x:f>M8-Assumptions!$H$15</x:f>
        <x:v>7</x:v>
      </x:c>
      <x:c r="N9" s="15" t="n">
        <x:f>N8-Assumptions!$H$15</x:f>
        <x:v>8</x:v>
      </x:c>
      <x:c r="O9" s="15" t="n">
        <x:f>O8-Assumptions!$H$15</x:f>
        <x:v>9</x:v>
      </x:c>
      <x:c r="P9" s="15" t="n">
        <x:f>P8-Assumptions!$H$15</x:f>
        <x:v>10</x:v>
      </x:c>
      <x:c r="Q9" s="15" t="n">
        <x:f>Q8-Assumptions!$H$15</x:f>
        <x:v>11</x:v>
      </x:c>
      <x:c r="R9" s="15" t="n">
        <x:f>R8-Assumptions!$H$15</x:f>
        <x:v>12</x:v>
      </x:c>
      <x:c r="S9" s="15" t="n">
        <x:f>S8-Assumptions!$H$15</x:f>
        <x:v>13</x:v>
      </x:c>
      <x:c r="T9" s="15" t="n">
        <x:f>T8-Assumptions!$H$15</x:f>
        <x:v>14</x:v>
      </x:c>
      <x:c r="U9" s="15" t="n">
        <x:f>U8-Assumptions!$H$15</x:f>
        <x:v>15</x:v>
      </x:c>
      <x:c r="V9" s="15" t="n">
        <x:f>V8-Assumptions!$H$15</x:f>
        <x:v>16</x:v>
      </x:c>
      <x:c r="W9" s="15" t="n">
        <x:f>W8-Assumptions!$H$15</x:f>
        <x:v>17</x:v>
      </x:c>
      <x:c r="X9" s="15" t="n">
        <x:f>X8-Assumptions!$H$15</x:f>
        <x:v>18</x:v>
      </x:c>
      <x:c r="Y9" s="15" t="n">
        <x:f>Y8-Assumptions!$H$15</x:f>
        <x:v>19</x:v>
      </x:c>
      <x:c r="Z9" s="15" t="n">
        <x:f>Z8-Assumptions!$H$15</x:f>
        <x:v>20</x:v>
      </x:c>
      <x:c r="AA9" s="15" t="n">
        <x:f>AA8-Assumptions!$H$15</x:f>
        <x:v>21</x:v>
      </x:c>
      <x:c r="AB9" s="15" t="n">
        <x:f>AB8-Assumptions!$H$15</x:f>
        <x:v>22</x:v>
      </x:c>
      <x:c r="AC9" s="15" t="n">
        <x:f>AC8-Assumptions!$H$15</x:f>
        <x:v>23</x:v>
      </x:c>
      <x:c r="AD9" s="15" t="n">
        <x:f>AD8-Assumptions!$H$15</x:f>
        <x:v>24</x:v>
      </x:c>
      <x:c r="AE9" s="15" t="n">
        <x:f>AE8-Assumptions!$H$15</x:f>
        <x:v>25</x:v>
      </x:c>
      <x:c r="AF9" s="15" t="n">
        <x:f>AF8-Assumptions!$H$15</x:f>
        <x:v>26</x:v>
      </x:c>
      <x:c r="AG9" s="15" t="n">
        <x:f>AG8-Assumptions!$H$15</x:f>
        <x:v>27</x:v>
      </x:c>
      <x:c r="AH9" s="15" t="n">
        <x:f>AH8-Assumptions!$H$15</x:f>
        <x:v>28</x:v>
      </x:c>
      <x:c r="AI9" s="15" t="n">
        <x:f>AI8-Assumptions!$H$15</x:f>
        <x:v>29</x:v>
      </x:c>
      <x:c r="AJ9" s="15" t="n">
        <x:f>AJ8-Assumptions!$H$15</x:f>
        <x:v>30</x:v>
      </x:c>
      <x:c r="AK9" s="15" t="n">
        <x:f>AK8-Assumptions!$H$15</x:f>
        <x:v>31</x:v>
      </x:c>
      <x:c r="AL9" s="15" t="n">
        <x:f>AL8-Assumptions!$H$15</x:f>
        <x:v>32</x:v>
      </x:c>
      <x:c r="AM9" s="15" t="n">
        <x:f>AM8-Assumptions!$H$15</x:f>
        <x:v>33</x:v>
      </x:c>
      <x:c r="AN9" s="15" t="n">
        <x:f>AN8-Assumptions!$H$15</x:f>
        <x:v>34</x:v>
      </x:c>
      <x:c r="AO9" s="1"/>
    </x:row>
    <x:row r="10" ht="23" customHeight="1">
      <x:c r="A10" s="1"/>
      <x:c r="B10" s="1"/>
      <x:c r="C10" s="1" t="str">
        <x:v>Operating flag</x:v>
      </x:c>
      <x:c r="D10" s="1"/>
      <x:c r="E10" s="15" t="n">
        <x:f>IF(AND(E9&gt;0,E9&lt;=Assumptions!$H$29),1,0)</x:f>
        <x:v>0</x:v>
      </x:c>
      <x:c r="F10" s="15" t="n">
        <x:f>IF(AND(F9&gt;0,F9&lt;=Assumptions!$H$29),1,0)</x:f>
        <x:v>0</x:v>
      </x:c>
      <x:c r="G10" s="15" t="n">
        <x:f>IF(AND(G9&gt;0,G9&lt;=Assumptions!$H$29),1,0)</x:f>
        <x:v>1</x:v>
      </x:c>
      <x:c r="H10" s="15" t="n">
        <x:f>IF(AND(H9&gt;0,H9&lt;=Assumptions!$H$29),1,0)</x:f>
        <x:v>1</x:v>
      </x:c>
      <x:c r="I10" s="15" t="n">
        <x:f>IF(AND(I9&gt;0,I9&lt;=Assumptions!$H$29),1,0)</x:f>
        <x:v>1</x:v>
      </x:c>
      <x:c r="J10" s="15" t="n">
        <x:f>IF(AND(J9&gt;0,J9&lt;=Assumptions!$H$29),1,0)</x:f>
        <x:v>1</x:v>
      </x:c>
      <x:c r="K10" s="15" t="n">
        <x:f>IF(AND(K9&gt;0,K9&lt;=Assumptions!$H$29),1,0)</x:f>
        <x:v>1</x:v>
      </x:c>
      <x:c r="L10" s="15" t="n">
        <x:f>IF(AND(L9&gt;0,L9&lt;=Assumptions!$H$29),1,0)</x:f>
        <x:v>1</x:v>
      </x:c>
      <x:c r="M10" s="15" t="n">
        <x:f>IF(AND(M9&gt;0,M9&lt;=Assumptions!$H$29),1,0)</x:f>
        <x:v>1</x:v>
      </x:c>
      <x:c r="N10" s="15" t="n">
        <x:f>IF(AND(N9&gt;0,N9&lt;=Assumptions!$H$29),1,0)</x:f>
        <x:v>1</x:v>
      </x:c>
      <x:c r="O10" s="15" t="n">
        <x:f>IF(AND(O9&gt;0,O9&lt;=Assumptions!$H$29),1,0)</x:f>
        <x:v>1</x:v>
      </x:c>
      <x:c r="P10" s="15" t="n">
        <x:f>IF(AND(P9&gt;0,P9&lt;=Assumptions!$H$29),1,0)</x:f>
        <x:v>1</x:v>
      </x:c>
      <x:c r="Q10" s="15" t="n">
        <x:f>IF(AND(Q9&gt;0,Q9&lt;=Assumptions!$H$29),1,0)</x:f>
        <x:v>1</x:v>
      </x:c>
      <x:c r="R10" s="15" t="n">
        <x:f>IF(AND(R9&gt;0,R9&lt;=Assumptions!$H$29),1,0)</x:f>
        <x:v>1</x:v>
      </x:c>
      <x:c r="S10" s="15" t="n">
        <x:f>IF(AND(S9&gt;0,S9&lt;=Assumptions!$H$29),1,0)</x:f>
        <x:v>1</x:v>
      </x:c>
      <x:c r="T10" s="15" t="n">
        <x:f>IF(AND(T9&gt;0,T9&lt;=Assumptions!$H$29),1,0)</x:f>
        <x:v>1</x:v>
      </x:c>
      <x:c r="U10" s="15" t="n">
        <x:f>IF(AND(U9&gt;0,U9&lt;=Assumptions!$H$29),1,0)</x:f>
        <x:v>1</x:v>
      </x:c>
      <x:c r="V10" s="15" t="n">
        <x:f>IF(AND(V9&gt;0,V9&lt;=Assumptions!$H$29),1,0)</x:f>
        <x:v>0</x:v>
      </x:c>
      <x:c r="W10" s="15" t="n">
        <x:f>IF(AND(W9&gt;0,W9&lt;=Assumptions!$H$29),1,0)</x:f>
        <x:v>0</x:v>
      </x:c>
      <x:c r="X10" s="15" t="n">
        <x:f>IF(AND(X9&gt;0,X9&lt;=Assumptions!$H$29),1,0)</x:f>
        <x:v>0</x:v>
      </x:c>
      <x:c r="Y10" s="15" t="n">
        <x:f>IF(AND(Y9&gt;0,Y9&lt;=Assumptions!$H$29),1,0)</x:f>
        <x:v>0</x:v>
      </x:c>
      <x:c r="Z10" s="15" t="n">
        <x:f>IF(AND(Z9&gt;0,Z9&lt;=Assumptions!$H$29),1,0)</x:f>
        <x:v>0</x:v>
      </x:c>
      <x:c r="AA10" s="15" t="n">
        <x:f>IF(AND(AA9&gt;0,AA9&lt;=Assumptions!$H$29),1,0)</x:f>
        <x:v>0</x:v>
      </x:c>
      <x:c r="AB10" s="15" t="n">
        <x:f>IF(AND(AB9&gt;0,AB9&lt;=Assumptions!$H$29),1,0)</x:f>
        <x:v>0</x:v>
      </x:c>
      <x:c r="AC10" s="15" t="n">
        <x:f>IF(AND(AC9&gt;0,AC9&lt;=Assumptions!$H$29),1,0)</x:f>
        <x:v>0</x:v>
      </x:c>
      <x:c r="AD10" s="15" t="n">
        <x:f>IF(AND(AD9&gt;0,AD9&lt;=Assumptions!$H$29),1,0)</x:f>
        <x:v>0</x:v>
      </x:c>
      <x:c r="AE10" s="15" t="n">
        <x:f>IF(AND(AE9&gt;0,AE9&lt;=Assumptions!$H$29),1,0)</x:f>
        <x:v>0</x:v>
      </x:c>
      <x:c r="AF10" s="15" t="n">
        <x:f>IF(AND(AF9&gt;0,AF9&lt;=Assumptions!$H$29),1,0)</x:f>
        <x:v>0</x:v>
      </x:c>
      <x:c r="AG10" s="15" t="n">
        <x:f>IF(AND(AG9&gt;0,AG9&lt;=Assumptions!$H$29),1,0)</x:f>
        <x:v>0</x:v>
      </x:c>
      <x:c r="AH10" s="15" t="n">
        <x:f>IF(AND(AH9&gt;0,AH9&lt;=Assumptions!$H$29),1,0)</x:f>
        <x:v>0</x:v>
      </x:c>
      <x:c r="AI10" s="15" t="n">
        <x:f>IF(AND(AI9&gt;0,AI9&lt;=Assumptions!$H$29),1,0)</x:f>
        <x:v>0</x:v>
      </x:c>
      <x:c r="AJ10" s="15" t="n">
        <x:f>IF(AND(AJ9&gt;0,AJ9&lt;=Assumptions!$H$29),1,0)</x:f>
        <x:v>0</x:v>
      </x:c>
      <x:c r="AK10" s="15" t="n">
        <x:f>IF(AND(AK9&gt;0,AK9&lt;=Assumptions!$H$29),1,0)</x:f>
        <x:v>0</x:v>
      </x:c>
      <x:c r="AL10" s="15" t="n">
        <x:f>IF(AND(AL9&gt;0,AL9&lt;=Assumptions!$H$29),1,0)</x:f>
        <x:v>0</x:v>
      </x:c>
      <x:c r="AM10" s="15" t="n">
        <x:f>IF(AND(AM9&gt;0,AM9&lt;=Assumptions!$H$29),1,0)</x:f>
        <x:v>0</x:v>
      </x:c>
      <x:c r="AN10" s="15" t="n">
        <x:f>IF(AND(AN9&gt;0,AN9&lt;=Assumptions!$H$29),1,0)</x:f>
        <x:v>0</x:v>
      </x:c>
      <x:c r="AO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</x:row>
    <x:row r="12" ht="23" customHeight="1">
      <x:c r="A12" s="1"/>
      <x:c r="B12" s="1"/>
      <x:c r="C12" s="1" t="str">
        <x:v>Utilization</x:v>
      </x:c>
      <x:c r="D12" s="1"/>
      <x:c r="E12" s="8" t="n">
        <x:f>0</x:f>
        <x:v>0</x:v>
      </x:c>
      <x:c r="F12" s="17" t="n">
        <x:f>IF(F10=1,IF(Assumptions!$E$8&lt;0,INDEX(Assumptions!$H$40:$H$44,MIN(F9,5)),Assumptions!$E$8),0)</x:f>
        <x:v>0</x:v>
      </x:c>
      <x:c r="G12" s="17" t="n">
        <x:f>IF(G10=1,IF(Assumptions!$E$8&lt;0,INDEX(Assumptions!$H$40:$H$44,MIN(G9,5)),Assumptions!$E$8),0)</x:f>
        <x:v>0.4</x:v>
      </x:c>
      <x:c r="H12" s="17" t="n">
        <x:f>IF(H10=1,IF(Assumptions!$E$8&lt;0,INDEX(Assumptions!$H$40:$H$44,MIN(H9,5)),Assumptions!$E$8),0)</x:f>
        <x:v>0.55</x:v>
      </x:c>
      <x:c r="I12" s="17" t="n">
        <x:f>IF(I10=1,IF(Assumptions!$E$8&lt;0,INDEX(Assumptions!$H$40:$H$44,MIN(I9,5)),Assumptions!$E$8),0)</x:f>
        <x:v>0.7</x:v>
      </x:c>
      <x:c r="J12" s="17" t="n">
        <x:f>IF(J10=1,IF(Assumptions!$E$8&lt;0,INDEX(Assumptions!$H$40:$H$44,MIN(J9,5)),Assumptions!$E$8),0)</x:f>
        <x:v>0.82</x:v>
      </x:c>
      <x:c r="K12" s="17" t="n">
        <x:f>IF(K10=1,IF(Assumptions!$E$8&lt;0,INDEX(Assumptions!$H$40:$H$44,MIN(K9,5)),Assumptions!$E$8),0)</x:f>
        <x:v>0.9</x:v>
      </x:c>
      <x:c r="L12" s="17" t="n">
        <x:f>IF(L10=1,IF(Assumptions!$E$8&lt;0,INDEX(Assumptions!$H$40:$H$44,MIN(L9,5)),Assumptions!$E$8),0)</x:f>
        <x:v>0.9</x:v>
      </x:c>
      <x:c r="M12" s="17" t="n">
        <x:f>IF(M10=1,IF(Assumptions!$E$8&lt;0,INDEX(Assumptions!$H$40:$H$44,MIN(M9,5)),Assumptions!$E$8),0)</x:f>
        <x:v>0.9</x:v>
      </x:c>
      <x:c r="N12" s="17" t="n">
        <x:f>IF(N10=1,IF(Assumptions!$E$8&lt;0,INDEX(Assumptions!$H$40:$H$44,MIN(N9,5)),Assumptions!$E$8),0)</x:f>
        <x:v>0.9</x:v>
      </x:c>
      <x:c r="O12" s="17" t="n">
        <x:f>IF(O10=1,IF(Assumptions!$E$8&lt;0,INDEX(Assumptions!$H$40:$H$44,MIN(O9,5)),Assumptions!$E$8),0)</x:f>
        <x:v>0.9</x:v>
      </x:c>
      <x:c r="P12" s="17" t="n">
        <x:f>IF(P10=1,IF(Assumptions!$E$8&lt;0,INDEX(Assumptions!$H$40:$H$44,MIN(P9,5)),Assumptions!$E$8),0)</x:f>
        <x:v>0.9</x:v>
      </x:c>
      <x:c r="Q12" s="17" t="n">
        <x:f>IF(Q10=1,IF(Assumptions!$E$8&lt;0,INDEX(Assumptions!$H$40:$H$44,MIN(Q9,5)),Assumptions!$E$8),0)</x:f>
        <x:v>0.9</x:v>
      </x:c>
      <x:c r="R12" s="17" t="n">
        <x:f>IF(R10=1,IF(Assumptions!$E$8&lt;0,INDEX(Assumptions!$H$40:$H$44,MIN(R9,5)),Assumptions!$E$8),0)</x:f>
        <x:v>0.9</x:v>
      </x:c>
      <x:c r="S12" s="17" t="n">
        <x:f>IF(S10=1,IF(Assumptions!$E$8&lt;0,INDEX(Assumptions!$H$40:$H$44,MIN(S9,5)),Assumptions!$E$8),0)</x:f>
        <x:v>0.9</x:v>
      </x:c>
      <x:c r="T12" s="17" t="n">
        <x:f>IF(T10=1,IF(Assumptions!$E$8&lt;0,INDEX(Assumptions!$H$40:$H$44,MIN(T9,5)),Assumptions!$E$8),0)</x:f>
        <x:v>0.9</x:v>
      </x:c>
      <x:c r="U12" s="17" t="n">
        <x:f>IF(U10=1,IF(Assumptions!$E$8&lt;0,INDEX(Assumptions!$H$40:$H$44,MIN(U9,5)),Assumptions!$E$8),0)</x:f>
        <x:v>0.9</x:v>
      </x:c>
      <x:c r="V12" s="17" t="n">
        <x:f>IF(V10=1,IF(Assumptions!$E$8&lt;0,INDEX(Assumptions!$H$40:$H$44,MIN(V9,5)),Assumptions!$E$8),0)</x:f>
        <x:v>0</x:v>
      </x:c>
      <x:c r="W12" s="17" t="n">
        <x:f>IF(W10=1,IF(Assumptions!$E$8&lt;0,INDEX(Assumptions!$H$40:$H$44,MIN(W9,5)),Assumptions!$E$8),0)</x:f>
        <x:v>0</x:v>
      </x:c>
      <x:c r="X12" s="17" t="n">
        <x:f>IF(X10=1,IF(Assumptions!$E$8&lt;0,INDEX(Assumptions!$H$40:$H$44,MIN(X9,5)),Assumptions!$E$8),0)</x:f>
        <x:v>0</x:v>
      </x:c>
      <x:c r="Y12" s="17" t="n">
        <x:f>IF(Y10=1,IF(Assumptions!$E$8&lt;0,INDEX(Assumptions!$H$40:$H$44,MIN(Y9,5)),Assumptions!$E$8),0)</x:f>
        <x:v>0</x:v>
      </x:c>
      <x:c r="Z12" s="17" t="n">
        <x:f>IF(Z10=1,IF(Assumptions!$E$8&lt;0,INDEX(Assumptions!$H$40:$H$44,MIN(Z9,5)),Assumptions!$E$8),0)</x:f>
        <x:v>0</x:v>
      </x:c>
      <x:c r="AA12" s="17" t="n">
        <x:f>IF(AA10=1,IF(Assumptions!$E$8&lt;0,INDEX(Assumptions!$H$40:$H$44,MIN(AA9,5)),Assumptions!$E$8),0)</x:f>
        <x:v>0</x:v>
      </x:c>
      <x:c r="AB12" s="17" t="n">
        <x:f>IF(AB10=1,IF(Assumptions!$E$8&lt;0,INDEX(Assumptions!$H$40:$H$44,MIN(AB9,5)),Assumptions!$E$8),0)</x:f>
        <x:v>0</x:v>
      </x:c>
      <x:c r="AC12" s="17" t="n">
        <x:f>IF(AC10=1,IF(Assumptions!$E$8&lt;0,INDEX(Assumptions!$H$40:$H$44,MIN(AC9,5)),Assumptions!$E$8),0)</x:f>
        <x:v>0</x:v>
      </x:c>
      <x:c r="AD12" s="17" t="n">
        <x:f>IF(AD10=1,IF(Assumptions!$E$8&lt;0,INDEX(Assumptions!$H$40:$H$44,MIN(AD9,5)),Assumptions!$E$8),0)</x:f>
        <x:v>0</x:v>
      </x:c>
      <x:c r="AE12" s="17" t="n">
        <x:f>IF(AE10=1,IF(Assumptions!$E$8&lt;0,INDEX(Assumptions!$H$40:$H$44,MIN(AE9,5)),Assumptions!$E$8),0)</x:f>
        <x:v>0</x:v>
      </x:c>
      <x:c r="AF12" s="17" t="n">
        <x:f>IF(AF10=1,IF(Assumptions!$E$8&lt;0,INDEX(Assumptions!$H$40:$H$44,MIN(AF9,5)),Assumptions!$E$8),0)</x:f>
        <x:v>0</x:v>
      </x:c>
      <x:c r="AG12" s="17" t="n">
        <x:f>IF(AG10=1,IF(Assumptions!$E$8&lt;0,INDEX(Assumptions!$H$40:$H$44,MIN(AG9,5)),Assumptions!$E$8),0)</x:f>
        <x:v>0</x:v>
      </x:c>
      <x:c r="AH12" s="17" t="n">
        <x:f>IF(AH10=1,IF(Assumptions!$E$8&lt;0,INDEX(Assumptions!$H$40:$H$44,MIN(AH9,5)),Assumptions!$E$8),0)</x:f>
        <x:v>0</x:v>
      </x:c>
      <x:c r="AI12" s="17" t="n">
        <x:f>IF(AI10=1,IF(Assumptions!$E$8&lt;0,INDEX(Assumptions!$H$40:$H$44,MIN(AI9,5)),Assumptions!$E$8),0)</x:f>
        <x:v>0</x:v>
      </x:c>
      <x:c r="AJ12" s="17" t="n">
        <x:f>IF(AJ10=1,IF(Assumptions!$E$8&lt;0,INDEX(Assumptions!$H$40:$H$44,MIN(AJ9,5)),Assumptions!$E$8),0)</x:f>
        <x:v>0</x:v>
      </x:c>
      <x:c r="AK12" s="17" t="n">
        <x:f>IF(AK10=1,IF(Assumptions!$E$8&lt;0,INDEX(Assumptions!$H$40:$H$44,MIN(AK9,5)),Assumptions!$E$8),0)</x:f>
        <x:v>0</x:v>
      </x:c>
      <x:c r="AL12" s="17" t="n">
        <x:f>IF(AL10=1,IF(Assumptions!$E$8&lt;0,INDEX(Assumptions!$H$40:$H$44,MIN(AL9,5)),Assumptions!$E$8),0)</x:f>
        <x:v>0</x:v>
      </x:c>
      <x:c r="AM12" s="17" t="n">
        <x:f>IF(AM10=1,IF(Assumptions!$E$8&lt;0,INDEX(Assumptions!$H$40:$H$44,MIN(AM9,5)),Assumptions!$E$8),0)</x:f>
        <x:v>0</x:v>
      </x:c>
      <x:c r="AN12" s="17" t="n">
        <x:f>IF(AN10=1,IF(Assumptions!$E$8&lt;0,INDEX(Assumptions!$H$40:$H$44,MIN(AN9,5)),Assumptions!$E$8),0)</x:f>
        <x:v>0</x:v>
      </x:c>
      <x:c r="AO12" s="1"/>
    </x:row>
    <x:row r="13" ht="23" customHeight="1">
      <x:c r="A13" s="1"/>
      <x:c r="B13" s="1"/>
      <x:c r="C13" s="1" t="str">
        <x:v>IT load · MW</x:v>
      </x:c>
      <x:c r="D13" s="1"/>
      <x:c r="E13" s="8" t="n">
        <x:f>0</x:f>
        <x:v>0</x:v>
      </x:c>
      <x:c r="F13" s="17" t="n">
        <x:f>Assumptions!$H$14*F12</x:f>
        <x:v>0</x:v>
      </x:c>
      <x:c r="G13" s="17" t="n">
        <x:f>Assumptions!$H$14*G12</x:f>
        <x:v>2</x:v>
      </x:c>
      <x:c r="H13" s="17" t="n">
        <x:f>Assumptions!$H$14*H12</x:f>
        <x:v>2.75</x:v>
      </x:c>
      <x:c r="I13" s="17" t="n">
        <x:f>Assumptions!$H$14*I12</x:f>
        <x:v>3.5</x:v>
      </x:c>
      <x:c r="J13" s="17" t="n">
        <x:f>Assumptions!$H$14*J12</x:f>
        <x:v>4.1</x:v>
      </x:c>
      <x:c r="K13" s="17" t="n">
        <x:f>Assumptions!$H$14*K12</x:f>
        <x:v>4.5</x:v>
      </x:c>
      <x:c r="L13" s="17" t="n">
        <x:f>Assumptions!$H$14*L12</x:f>
        <x:v>4.5</x:v>
      </x:c>
      <x:c r="M13" s="17" t="n">
        <x:f>Assumptions!$H$14*M12</x:f>
        <x:v>4.5</x:v>
      </x:c>
      <x:c r="N13" s="17" t="n">
        <x:f>Assumptions!$H$14*N12</x:f>
        <x:v>4.5</x:v>
      </x:c>
      <x:c r="O13" s="17" t="n">
        <x:f>Assumptions!$H$14*O12</x:f>
        <x:v>4.5</x:v>
      </x:c>
      <x:c r="P13" s="17" t="n">
        <x:f>Assumptions!$H$14*P12</x:f>
        <x:v>4.5</x:v>
      </x:c>
      <x:c r="Q13" s="17" t="n">
        <x:f>Assumptions!$H$14*Q12</x:f>
        <x:v>4.5</x:v>
      </x:c>
      <x:c r="R13" s="17" t="n">
        <x:f>Assumptions!$H$14*R12</x:f>
        <x:v>4.5</x:v>
      </x:c>
      <x:c r="S13" s="17" t="n">
        <x:f>Assumptions!$H$14*S12</x:f>
        <x:v>4.5</x:v>
      </x:c>
      <x:c r="T13" s="17" t="n">
        <x:f>Assumptions!$H$14*T12</x:f>
        <x:v>4.5</x:v>
      </x:c>
      <x:c r="U13" s="17" t="n">
        <x:f>Assumptions!$H$14*U12</x:f>
        <x:v>4.5</x:v>
      </x:c>
      <x:c r="V13" s="17" t="n">
        <x:f>Assumptions!$H$14*V12</x:f>
        <x:v>0</x:v>
      </x:c>
      <x:c r="W13" s="17" t="n">
        <x:f>Assumptions!$H$14*W12</x:f>
        <x:v>0</x:v>
      </x:c>
      <x:c r="X13" s="17" t="n">
        <x:f>Assumptions!$H$14*X12</x:f>
        <x:v>0</x:v>
      </x:c>
      <x:c r="Y13" s="17" t="n">
        <x:f>Assumptions!$H$14*Y12</x:f>
        <x:v>0</x:v>
      </x:c>
      <x:c r="Z13" s="17" t="n">
        <x:f>Assumptions!$H$14*Z12</x:f>
        <x:v>0</x:v>
      </x:c>
      <x:c r="AA13" s="17" t="n">
        <x:f>Assumptions!$H$14*AA12</x:f>
        <x:v>0</x:v>
      </x:c>
      <x:c r="AB13" s="17" t="n">
        <x:f>Assumptions!$H$14*AB12</x:f>
        <x:v>0</x:v>
      </x:c>
      <x:c r="AC13" s="17" t="n">
        <x:f>Assumptions!$H$14*AC12</x:f>
        <x:v>0</x:v>
      </x:c>
      <x:c r="AD13" s="17" t="n">
        <x:f>Assumptions!$H$14*AD12</x:f>
        <x:v>0</x:v>
      </x:c>
      <x:c r="AE13" s="17" t="n">
        <x:f>Assumptions!$H$14*AE12</x:f>
        <x:v>0</x:v>
      </x:c>
      <x:c r="AF13" s="17" t="n">
        <x:f>Assumptions!$H$14*AF12</x:f>
        <x:v>0</x:v>
      </x:c>
      <x:c r="AG13" s="17" t="n">
        <x:f>Assumptions!$H$14*AG12</x:f>
        <x:v>0</x:v>
      </x:c>
      <x:c r="AH13" s="17" t="n">
        <x:f>Assumptions!$H$14*AH12</x:f>
        <x:v>0</x:v>
      </x:c>
      <x:c r="AI13" s="17" t="n">
        <x:f>Assumptions!$H$14*AI12</x:f>
        <x:v>0</x:v>
      </x:c>
      <x:c r="AJ13" s="17" t="n">
        <x:f>Assumptions!$H$14*AJ12</x:f>
        <x:v>0</x:v>
      </x:c>
      <x:c r="AK13" s="17" t="n">
        <x:f>Assumptions!$H$14*AK12</x:f>
        <x:v>0</x:v>
      </x:c>
      <x:c r="AL13" s="17" t="n">
        <x:f>Assumptions!$H$14*AL12</x:f>
        <x:v>0</x:v>
      </x:c>
      <x:c r="AM13" s="17" t="n">
        <x:f>Assumptions!$H$14*AM12</x:f>
        <x:v>0</x:v>
      </x:c>
      <x:c r="AN13" s="17" t="n">
        <x:f>Assumptions!$H$14*AN12</x:f>
        <x:v>0</x:v>
      </x:c>
      <x:c r="AO13" s="1"/>
    </x:row>
    <x:row r="14" ht="23" customHeight="1">
      <x:c r="A14" s="1"/>
      <x:c r="B14" s="1"/>
      <x:c r="C14" s="1" t="str">
        <x:v>Facility load · MW</x:v>
      </x:c>
      <x:c r="D14" s="1"/>
      <x:c r="E14" s="8" t="n">
        <x:f>0</x:f>
        <x:v>0</x:v>
      </x:c>
      <x:c r="F14" s="17" t="n">
        <x:f>F13*Assumptions!$H$17</x:f>
        <x:v>0</x:v>
      </x:c>
      <x:c r="G14" s="17" t="n">
        <x:f>G13*Assumptions!$H$17</x:f>
        <x:v>2.8</x:v>
      </x:c>
      <x:c r="H14" s="17" t="n">
        <x:f>H13*Assumptions!$H$17</x:f>
        <x:v>3.8499999999999996</x:v>
      </x:c>
      <x:c r="I14" s="17" t="n">
        <x:f>I13*Assumptions!$H$17</x:f>
        <x:v>4.8999999999999995</x:v>
      </x:c>
      <x:c r="J14" s="17" t="n">
        <x:f>J13*Assumptions!$H$17</x:f>
        <x:v>5.739999999999999</x:v>
      </x:c>
      <x:c r="K14" s="17" t="n">
        <x:f>K13*Assumptions!$H$17</x:f>
        <x:v>6.3</x:v>
      </x:c>
      <x:c r="L14" s="17" t="n">
        <x:f>L13*Assumptions!$H$17</x:f>
        <x:v>6.3</x:v>
      </x:c>
      <x:c r="M14" s="17" t="n">
        <x:f>M13*Assumptions!$H$17</x:f>
        <x:v>6.3</x:v>
      </x:c>
      <x:c r="N14" s="17" t="n">
        <x:f>N13*Assumptions!$H$17</x:f>
        <x:v>6.3</x:v>
      </x:c>
      <x:c r="O14" s="17" t="n">
        <x:f>O13*Assumptions!$H$17</x:f>
        <x:v>6.3</x:v>
      </x:c>
      <x:c r="P14" s="17" t="n">
        <x:f>P13*Assumptions!$H$17</x:f>
        <x:v>6.3</x:v>
      </x:c>
      <x:c r="Q14" s="17" t="n">
        <x:f>Q13*Assumptions!$H$17</x:f>
        <x:v>6.3</x:v>
      </x:c>
      <x:c r="R14" s="17" t="n">
        <x:f>R13*Assumptions!$H$17</x:f>
        <x:v>6.3</x:v>
      </x:c>
      <x:c r="S14" s="17" t="n">
        <x:f>S13*Assumptions!$H$17</x:f>
        <x:v>6.3</x:v>
      </x:c>
      <x:c r="T14" s="17" t="n">
        <x:f>T13*Assumptions!$H$17</x:f>
        <x:v>6.3</x:v>
      </x:c>
      <x:c r="U14" s="17" t="n">
        <x:f>U13*Assumptions!$H$17</x:f>
        <x:v>6.3</x:v>
      </x:c>
      <x:c r="V14" s="17" t="n">
        <x:f>V13*Assumptions!$H$17</x:f>
        <x:v>0</x:v>
      </x:c>
      <x:c r="W14" s="17" t="n">
        <x:f>W13*Assumptions!$H$17</x:f>
        <x:v>0</x:v>
      </x:c>
      <x:c r="X14" s="17" t="n">
        <x:f>X13*Assumptions!$H$17</x:f>
        <x:v>0</x:v>
      </x:c>
      <x:c r="Y14" s="17" t="n">
        <x:f>Y13*Assumptions!$H$17</x:f>
        <x:v>0</x:v>
      </x:c>
      <x:c r="Z14" s="17" t="n">
        <x:f>Z13*Assumptions!$H$17</x:f>
        <x:v>0</x:v>
      </x:c>
      <x:c r="AA14" s="17" t="n">
        <x:f>AA13*Assumptions!$H$17</x:f>
        <x:v>0</x:v>
      </x:c>
      <x:c r="AB14" s="17" t="n">
        <x:f>AB13*Assumptions!$H$17</x:f>
        <x:v>0</x:v>
      </x:c>
      <x:c r="AC14" s="17" t="n">
        <x:f>AC13*Assumptions!$H$17</x:f>
        <x:v>0</x:v>
      </x:c>
      <x:c r="AD14" s="17" t="n">
        <x:f>AD13*Assumptions!$H$17</x:f>
        <x:v>0</x:v>
      </x:c>
      <x:c r="AE14" s="17" t="n">
        <x:f>AE13*Assumptions!$H$17</x:f>
        <x:v>0</x:v>
      </x:c>
      <x:c r="AF14" s="17" t="n">
        <x:f>AF13*Assumptions!$H$17</x:f>
        <x:v>0</x:v>
      </x:c>
      <x:c r="AG14" s="17" t="n">
        <x:f>AG13*Assumptions!$H$17</x:f>
        <x:v>0</x:v>
      </x:c>
      <x:c r="AH14" s="17" t="n">
        <x:f>AH13*Assumptions!$H$17</x:f>
        <x:v>0</x:v>
      </x:c>
      <x:c r="AI14" s="17" t="n">
        <x:f>AI13*Assumptions!$H$17</x:f>
        <x:v>0</x:v>
      </x:c>
      <x:c r="AJ14" s="17" t="n">
        <x:f>AJ13*Assumptions!$H$17</x:f>
        <x:v>0</x:v>
      </x:c>
      <x:c r="AK14" s="17" t="n">
        <x:f>AK13*Assumptions!$H$17</x:f>
        <x:v>0</x:v>
      </x:c>
      <x:c r="AL14" s="17" t="n">
        <x:f>AL13*Assumptions!$H$17</x:f>
        <x:v>0</x:v>
      </x:c>
      <x:c r="AM14" s="17" t="n">
        <x:f>AM13*Assumptions!$H$17</x:f>
        <x:v>0</x:v>
      </x:c>
      <x:c r="AN14" s="17" t="n">
        <x:f>AN13*Assumptions!$H$17</x:f>
        <x:v>0</x:v>
      </x:c>
      <x:c r="AO14" s="1"/>
    </x:row>
    <x:row r="15" ht="23" customHeight="1">
      <x:c r="A15" s="1"/>
      <x:c r="B15" s="1"/>
      <x:c r="C15" s="1" t="str">
        <x:v>Power consumption · kWh</x:v>
      </x:c>
      <x:c r="D15" s="1"/>
      <x:c r="E15" s="12" t="n">
        <x:f>0</x:f>
        <x:v>0</x:v>
      </x:c>
      <x:c r="F15" s="12" t="n">
        <x:f>F14*8760*1000</x:f>
        <x:v>0</x:v>
      </x:c>
      <x:c r="G15" s="12" t="n">
        <x:f>G14*8760*1000</x:f>
        <x:v>24528000</x:v>
      </x:c>
      <x:c r="H15" s="12" t="n">
        <x:f>H14*8760*1000</x:f>
        <x:v>33726000</x:v>
      </x:c>
      <x:c r="I15" s="12" t="n">
        <x:f>I14*8760*1000</x:f>
        <x:v>42923999.99999999</x:v>
      </x:c>
      <x:c r="J15" s="12" t="n">
        <x:f>J14*8760*1000</x:f>
        <x:v>50282399.99999999</x:v>
      </x:c>
      <x:c r="K15" s="12" t="n">
        <x:f>K14*8760*1000</x:f>
        <x:v>55188000</x:v>
      </x:c>
      <x:c r="L15" s="12" t="n">
        <x:f>L14*8760*1000</x:f>
        <x:v>55188000</x:v>
      </x:c>
      <x:c r="M15" s="12" t="n">
        <x:f>M14*8760*1000</x:f>
        <x:v>55188000</x:v>
      </x:c>
      <x:c r="N15" s="12" t="n">
        <x:f>N14*8760*1000</x:f>
        <x:v>55188000</x:v>
      </x:c>
      <x:c r="O15" s="12" t="n">
        <x:f>O14*8760*1000</x:f>
        <x:v>55188000</x:v>
      </x:c>
      <x:c r="P15" s="12" t="n">
        <x:f>P14*8760*1000</x:f>
        <x:v>55188000</x:v>
      </x:c>
      <x:c r="Q15" s="12" t="n">
        <x:f>Q14*8760*1000</x:f>
        <x:v>55188000</x:v>
      </x:c>
      <x:c r="R15" s="12" t="n">
        <x:f>R14*8760*1000</x:f>
        <x:v>55188000</x:v>
      </x:c>
      <x:c r="S15" s="12" t="n">
        <x:f>S14*8760*1000</x:f>
        <x:v>55188000</x:v>
      </x:c>
      <x:c r="T15" s="12" t="n">
        <x:f>T14*8760*1000</x:f>
        <x:v>55188000</x:v>
      </x:c>
      <x:c r="U15" s="12" t="n">
        <x:f>U14*8760*1000</x:f>
        <x:v>55188000</x:v>
      </x:c>
      <x:c r="V15" s="12" t="n">
        <x:f>V14*8760*1000</x:f>
        <x:v>0</x:v>
      </x:c>
      <x:c r="W15" s="12" t="n">
        <x:f>W14*8760*1000</x:f>
        <x:v>0</x:v>
      </x:c>
      <x:c r="X15" s="12" t="n">
        <x:f>X14*8760*1000</x:f>
        <x:v>0</x:v>
      </x:c>
      <x:c r="Y15" s="12" t="n">
        <x:f>Y14*8760*1000</x:f>
        <x:v>0</x:v>
      </x:c>
      <x:c r="Z15" s="12" t="n">
        <x:f>Z14*8760*1000</x:f>
        <x:v>0</x:v>
      </x:c>
      <x:c r="AA15" s="12" t="n">
        <x:f>AA14*8760*1000</x:f>
        <x:v>0</x:v>
      </x:c>
      <x:c r="AB15" s="12" t="n">
        <x:f>AB14*8760*1000</x:f>
        <x:v>0</x:v>
      </x:c>
      <x:c r="AC15" s="12" t="n">
        <x:f>AC14*8760*1000</x:f>
        <x:v>0</x:v>
      </x:c>
      <x:c r="AD15" s="12" t="n">
        <x:f>AD14*8760*1000</x:f>
        <x:v>0</x:v>
      </x:c>
      <x:c r="AE15" s="12" t="n">
        <x:f>AE14*8760*1000</x:f>
        <x:v>0</x:v>
      </x:c>
      <x:c r="AF15" s="12" t="n">
        <x:f>AF14*8760*1000</x:f>
        <x:v>0</x:v>
      </x:c>
      <x:c r="AG15" s="12" t="n">
        <x:f>AG14*8760*1000</x:f>
        <x:v>0</x:v>
      </x:c>
      <x:c r="AH15" s="12" t="n">
        <x:f>AH14*8760*1000</x:f>
        <x:v>0</x:v>
      </x:c>
      <x:c r="AI15" s="12" t="n">
        <x:f>AI14*8760*1000</x:f>
        <x:v>0</x:v>
      </x:c>
      <x:c r="AJ15" s="12" t="n">
        <x:f>AJ14*8760*1000</x:f>
        <x:v>0</x:v>
      </x:c>
      <x:c r="AK15" s="12" t="n">
        <x:f>AK14*8760*1000</x:f>
        <x:v>0</x:v>
      </x:c>
      <x:c r="AL15" s="12" t="n">
        <x:f>AL14*8760*1000</x:f>
        <x:v>0</x:v>
      </x:c>
      <x:c r="AM15" s="12" t="n">
        <x:f>AM14*8760*1000</x:f>
        <x:v>0</x:v>
      </x:c>
      <x:c r="AN15" s="12" t="n">
        <x:f>AN14*8760*1000</x:f>
        <x:v>0</x:v>
      </x:c>
      <x:c r="AO15" s="1"/>
    </x:row>
    <x:row r="16" ht="23" customHeight="1">
      <x:c r="A16" s="1"/>
      <x:c r="B16" s="1"/>
      <x:c r="C16" s="1"/>
      <x:c r="D16" s="1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  <x:c r="AA16" s="12"/>
      <x:c r="AB16" s="12"/>
      <x:c r="AC16" s="12"/>
      <x:c r="AD16" s="12"/>
      <x:c r="AE16" s="12"/>
      <x:c r="AF16" s="12"/>
      <x:c r="AG16" s="12"/>
      <x:c r="AH16" s="12"/>
      <x:c r="AI16" s="12"/>
      <x:c r="AJ16" s="12"/>
      <x:c r="AK16" s="12"/>
      <x:c r="AL16" s="12"/>
      <x:c r="AM16" s="12"/>
      <x:c r="AN16" s="12"/>
      <x:c r="AO16" s="1"/>
    </x:row>
    <x:row r="17" ht="23" customHeight="1">
      <x:c r="A17" s="1"/>
      <x:c r="B17" s="1"/>
      <x:c r="C17" s="1" t="str">
        <x:v>Power expense</x:v>
      </x:c>
      <x:c r="D17" s="1"/>
      <x:c r="E17" s="12" t="n">
        <x:f>0</x:f>
        <x:v>0</x:v>
      </x:c>
      <x:c r="F17" s="16" t="n">
        <x:f>F15*Assumptions!$H$16*Assumptions!$E$11</x:f>
        <x:v>0</x:v>
      </x:c>
      <x:c r="G17" s="16" t="n">
        <x:f>G15*Assumptions!$H$16*Assumptions!$E$11</x:f>
        <x:v>1962240</x:v>
      </x:c>
      <x:c r="H17" s="16" t="n">
        <x:f>H15*Assumptions!$H$16*Assumptions!$E$11</x:f>
        <x:v>2698080</x:v>
      </x:c>
      <x:c r="I17" s="16" t="n">
        <x:f>I15*Assumptions!$H$16*Assumptions!$E$11</x:f>
        <x:v>3433919.9999999995</x:v>
      </x:c>
      <x:c r="J17" s="16" t="n">
        <x:f>J15*Assumptions!$H$16*Assumptions!$E$11</x:f>
        <x:v>4022591.9999999995</x:v>
      </x:c>
      <x:c r="K17" s="16" t="n">
        <x:f>K15*Assumptions!$H$16*Assumptions!$E$11</x:f>
        <x:v>4415040</x:v>
      </x:c>
      <x:c r="L17" s="16" t="n">
        <x:f>L15*Assumptions!$H$16*Assumptions!$E$11</x:f>
        <x:v>4415040</x:v>
      </x:c>
      <x:c r="M17" s="16" t="n">
        <x:f>M15*Assumptions!$H$16*Assumptions!$E$11</x:f>
        <x:v>4415040</x:v>
      </x:c>
      <x:c r="N17" s="16" t="n">
        <x:f>N15*Assumptions!$H$16*Assumptions!$E$11</x:f>
        <x:v>4415040</x:v>
      </x:c>
      <x:c r="O17" s="16" t="n">
        <x:f>O15*Assumptions!$H$16*Assumptions!$E$11</x:f>
        <x:v>4415040</x:v>
      </x:c>
      <x:c r="P17" s="16" t="n">
        <x:f>P15*Assumptions!$H$16*Assumptions!$E$11</x:f>
        <x:v>4415040</x:v>
      </x:c>
      <x:c r="Q17" s="16" t="n">
        <x:f>Q15*Assumptions!$H$16*Assumptions!$E$11</x:f>
        <x:v>4415040</x:v>
      </x:c>
      <x:c r="R17" s="16" t="n">
        <x:f>R15*Assumptions!$H$16*Assumptions!$E$11</x:f>
        <x:v>4415040</x:v>
      </x:c>
      <x:c r="S17" s="16" t="n">
        <x:f>S15*Assumptions!$H$16*Assumptions!$E$11</x:f>
        <x:v>4415040</x:v>
      </x:c>
      <x:c r="T17" s="16" t="n">
        <x:f>T15*Assumptions!$H$16*Assumptions!$E$11</x:f>
        <x:v>4415040</x:v>
      </x:c>
      <x:c r="U17" s="16" t="n">
        <x:f>U15*Assumptions!$H$16*Assumptions!$E$11</x:f>
        <x:v>4415040</x:v>
      </x:c>
      <x:c r="V17" s="16" t="n">
        <x:f>V15*Assumptions!$H$16*Assumptions!$E$11</x:f>
        <x:v>0</x:v>
      </x:c>
      <x:c r="W17" s="16" t="n">
        <x:f>W15*Assumptions!$H$16*Assumptions!$E$11</x:f>
        <x:v>0</x:v>
      </x:c>
      <x:c r="X17" s="16" t="n">
        <x:f>X15*Assumptions!$H$16*Assumptions!$E$11</x:f>
        <x:v>0</x:v>
      </x:c>
      <x:c r="Y17" s="16" t="n">
        <x:f>Y15*Assumptions!$H$16*Assumptions!$E$11</x:f>
        <x:v>0</x:v>
      </x:c>
      <x:c r="Z17" s="16" t="n">
        <x:f>Z15*Assumptions!$H$16*Assumptions!$E$11</x:f>
        <x:v>0</x:v>
      </x:c>
      <x:c r="AA17" s="16" t="n">
        <x:f>AA15*Assumptions!$H$16*Assumptions!$E$11</x:f>
        <x:v>0</x:v>
      </x:c>
      <x:c r="AB17" s="16" t="n">
        <x:f>AB15*Assumptions!$H$16*Assumptions!$E$11</x:f>
        <x:v>0</x:v>
      </x:c>
      <x:c r="AC17" s="16" t="n">
        <x:f>AC15*Assumptions!$H$16*Assumptions!$E$11</x:f>
        <x:v>0</x:v>
      </x:c>
      <x:c r="AD17" s="16" t="n">
        <x:f>AD15*Assumptions!$H$16*Assumptions!$E$11</x:f>
        <x:v>0</x:v>
      </x:c>
      <x:c r="AE17" s="16" t="n">
        <x:f>AE15*Assumptions!$H$16*Assumptions!$E$11</x:f>
        <x:v>0</x:v>
      </x:c>
      <x:c r="AF17" s="16" t="n">
        <x:f>AF15*Assumptions!$H$16*Assumptions!$E$11</x:f>
        <x:v>0</x:v>
      </x:c>
      <x:c r="AG17" s="16" t="n">
        <x:f>AG15*Assumptions!$H$16*Assumptions!$E$11</x:f>
        <x:v>0</x:v>
      </x:c>
      <x:c r="AH17" s="16" t="n">
        <x:f>AH15*Assumptions!$H$16*Assumptions!$E$11</x:f>
        <x:v>0</x:v>
      </x:c>
      <x:c r="AI17" s="16" t="n">
        <x:f>AI15*Assumptions!$H$16*Assumptions!$E$11</x:f>
        <x:v>0</x:v>
      </x:c>
      <x:c r="AJ17" s="16" t="n">
        <x:f>AJ15*Assumptions!$H$16*Assumptions!$E$11</x:f>
        <x:v>0</x:v>
      </x:c>
      <x:c r="AK17" s="16" t="n">
        <x:f>AK15*Assumptions!$H$16*Assumptions!$E$11</x:f>
        <x:v>0</x:v>
      </x:c>
      <x:c r="AL17" s="16" t="n">
        <x:f>AL15*Assumptions!$H$16*Assumptions!$E$11</x:f>
        <x:v>0</x:v>
      </x:c>
      <x:c r="AM17" s="16" t="n">
        <x:f>AM15*Assumptions!$H$16*Assumptions!$E$11</x:f>
        <x:v>0</x:v>
      </x:c>
      <x:c r="AN17" s="16" t="n">
        <x:f>AN15*Assumptions!$H$16*Assumptions!$E$11</x:f>
        <x:v>0</x:v>
      </x:c>
      <x:c r="AO17" s="1"/>
    </x:row>
    <x:row r="18" ht="23" customHeight="1">
      <x:c r="A18" s="1"/>
      <x:c r="B18" s="1"/>
      <x:c r="C18" s="1"/>
      <x:c r="D18" s="1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  <x:c r="X18" s="12"/>
      <x:c r="Y18" s="12"/>
      <x:c r="Z18" s="12"/>
      <x:c r="AA18" s="12"/>
      <x:c r="AB18" s="12"/>
      <x:c r="AC18" s="12"/>
      <x:c r="AD18" s="12"/>
      <x:c r="AE18" s="12"/>
      <x:c r="AF18" s="12"/>
      <x:c r="AG18" s="12"/>
      <x:c r="AH18" s="12"/>
      <x:c r="AI18" s="12"/>
      <x:c r="AJ18" s="12"/>
      <x:c r="AK18" s="12"/>
      <x:c r="AL18" s="12"/>
      <x:c r="AM18" s="12"/>
      <x:c r="AN18" s="12"/>
      <x:c r="AO18" s="1"/>
    </x:row>
    <x:row r="19" ht="23" customHeight="1">
      <x:c r="A19" s="1"/>
      <x:c r="B19" s="1"/>
      <x:c r="C19" s="1" t="str">
        <x:v>Revenue</x:v>
      </x:c>
      <x:c r="D19" s="1"/>
      <x:c r="E19" s="12" t="n">
        <x:f>0</x:f>
        <x:v>0</x:v>
      </x:c>
      <x:c r="F19" s="16" t="n">
        <x:f>IF(F10=1,Assumptions!$H$14*1000*F12*Assumptions!$H$18*Assumptions!$E$10*12*(1+Assumptions!$H$25)^(F9-1),0)</x:f>
        <x:v>0</x:v>
      </x:c>
      <x:c r="G19" s="16" t="n">
        <x:f>IF(G10=1,Assumptions!$H$14*1000*G12*Assumptions!$H$18*Assumptions!$E$10*12*(1+Assumptions!$H$25)^(G9-1),0)</x:f>
        <x:v>6000000</x:v>
      </x:c>
      <x:c r="H19" s="16" t="n">
        <x:f>IF(H10=1,Assumptions!$H$14*1000*H12*Assumptions!$H$18*Assumptions!$E$10*12*(1+Assumptions!$H$25)^(H9-1),0)</x:f>
        <x:v>8415000</x:v>
      </x:c>
      <x:c r="I19" s="16" t="n">
        <x:f>IF(I10=1,Assumptions!$H$14*1000*I12*Assumptions!$H$18*Assumptions!$E$10*12*(1+Assumptions!$H$25)^(I9-1),0)</x:f>
        <x:v>10924200</x:v>
      </x:c>
      <x:c r="J19" s="16" t="n">
        <x:f>IF(J10=1,Assumptions!$H$14*1000*J12*Assumptions!$H$18*Assumptions!$E$10*12*(1+Assumptions!$H$25)^(J9-1),0)</x:f>
        <x:v>13052858.400000002</x:v>
      </x:c>
      <x:c r="K19" s="16" t="n">
        <x:f>IF(K10=1,Assumptions!$H$14*1000*K12*Assumptions!$H$18*Assumptions!$E$10*12*(1+Assumptions!$H$25)^(K9-1),0)</x:f>
        <x:v>14612834.16</x:v>
      </x:c>
      <x:c r="L19" s="16" t="n">
        <x:f>IF(L10=1,Assumptions!$H$14*1000*L12*Assumptions!$H$18*Assumptions!$E$10*12*(1+Assumptions!$H$25)^(L9-1),0)</x:f>
        <x:v>14905090.8432</x:v>
      </x:c>
      <x:c r="M19" s="16" t="n">
        <x:f>IF(M10=1,Assumptions!$H$14*1000*M12*Assumptions!$H$18*Assumptions!$E$10*12*(1+Assumptions!$H$25)^(M9-1),0)</x:f>
        <x:v>15203192.660064</x:v>
      </x:c>
      <x:c r="N19" s="16" t="n">
        <x:f>IF(N10=1,Assumptions!$H$14*1000*N12*Assumptions!$H$18*Assumptions!$E$10*12*(1+Assumptions!$H$25)^(N9-1),0)</x:f>
        <x:v>15507256.51326528</x:v>
      </x:c>
      <x:c r="O19" s="16" t="n">
        <x:f>IF(O10=1,Assumptions!$H$14*1000*O12*Assumptions!$H$18*Assumptions!$E$10*12*(1+Assumptions!$H$25)^(O9-1),0)</x:f>
        <x:v>15817401.643530587</x:v>
      </x:c>
      <x:c r="P19" s="16" t="n">
        <x:f>IF(P10=1,Assumptions!$H$14*1000*P12*Assumptions!$H$18*Assumptions!$E$10*12*(1+Assumptions!$H$25)^(P9-1),0)</x:f>
        <x:v>16133749.6764012</x:v>
      </x:c>
      <x:c r="Q19" s="16" t="n">
        <x:f>IF(Q10=1,Assumptions!$H$14*1000*Q12*Assumptions!$H$18*Assumptions!$E$10*12*(1+Assumptions!$H$25)^(Q9-1),0)</x:f>
        <x:v>16456424.669929223</x:v>
      </x:c>
      <x:c r="R19" s="16" t="n">
        <x:f>IF(R10=1,Assumptions!$H$14*1000*R12*Assumptions!$H$18*Assumptions!$E$10*12*(1+Assumptions!$H$25)^(R9-1),0)</x:f>
        <x:v>16785553.16332781</x:v>
      </x:c>
      <x:c r="S19" s="16" t="n">
        <x:f>IF(S10=1,Assumptions!$H$14*1000*S12*Assumptions!$H$18*Assumptions!$E$10*12*(1+Assumptions!$H$25)^(S9-1),0)</x:f>
        <x:v>17121264.226594362</x:v>
      </x:c>
      <x:c r="T19" s="16" t="n">
        <x:f>IF(T10=1,Assumptions!$H$14*1000*T12*Assumptions!$H$18*Assumptions!$E$10*12*(1+Assumptions!$H$25)^(T9-1),0)</x:f>
        <x:v>17463689.511126254</x:v>
      </x:c>
      <x:c r="U19" s="16" t="n">
        <x:f>IF(U10=1,Assumptions!$H$14*1000*U12*Assumptions!$H$18*Assumptions!$E$10*12*(1+Assumptions!$H$25)^(U9-1),0)</x:f>
        <x:v>17812963.301348776</x:v>
      </x:c>
      <x:c r="V19" s="16" t="n">
        <x:f>IF(V10=1,Assumptions!$H$14*1000*V12*Assumptions!$H$18*Assumptions!$E$10*12*(1+Assumptions!$H$25)^(V9-1),0)</x:f>
        <x:v>0</x:v>
      </x:c>
      <x:c r="W19" s="16" t="n">
        <x:f>IF(W10=1,Assumptions!$H$14*1000*W12*Assumptions!$H$18*Assumptions!$E$10*12*(1+Assumptions!$H$25)^(W9-1),0)</x:f>
        <x:v>0</x:v>
      </x:c>
      <x:c r="X19" s="16" t="n">
        <x:f>IF(X10=1,Assumptions!$H$14*1000*X12*Assumptions!$H$18*Assumptions!$E$10*12*(1+Assumptions!$H$25)^(X9-1),0)</x:f>
        <x:v>0</x:v>
      </x:c>
      <x:c r="Y19" s="16" t="n">
        <x:f>IF(Y10=1,Assumptions!$H$14*1000*Y12*Assumptions!$H$18*Assumptions!$E$10*12*(1+Assumptions!$H$25)^(Y9-1),0)</x:f>
        <x:v>0</x:v>
      </x:c>
      <x:c r="Z19" s="16" t="n">
        <x:f>IF(Z10=1,Assumptions!$H$14*1000*Z12*Assumptions!$H$18*Assumptions!$E$10*12*(1+Assumptions!$H$25)^(Z9-1),0)</x:f>
        <x:v>0</x:v>
      </x:c>
      <x:c r="AA19" s="16" t="n">
        <x:f>IF(AA10=1,Assumptions!$H$14*1000*AA12*Assumptions!$H$18*Assumptions!$E$10*12*(1+Assumptions!$H$25)^(AA9-1),0)</x:f>
        <x:v>0</x:v>
      </x:c>
      <x:c r="AB19" s="16" t="n">
        <x:f>IF(AB10=1,Assumptions!$H$14*1000*AB12*Assumptions!$H$18*Assumptions!$E$10*12*(1+Assumptions!$H$25)^(AB9-1),0)</x:f>
        <x:v>0</x:v>
      </x:c>
      <x:c r="AC19" s="16" t="n">
        <x:f>IF(AC10=1,Assumptions!$H$14*1000*AC12*Assumptions!$H$18*Assumptions!$E$10*12*(1+Assumptions!$H$25)^(AC9-1),0)</x:f>
        <x:v>0</x:v>
      </x:c>
      <x:c r="AD19" s="16" t="n">
        <x:f>IF(AD10=1,Assumptions!$H$14*1000*AD12*Assumptions!$H$18*Assumptions!$E$10*12*(1+Assumptions!$H$25)^(AD9-1),0)</x:f>
        <x:v>0</x:v>
      </x:c>
      <x:c r="AE19" s="16" t="n">
        <x:f>IF(AE10=1,Assumptions!$H$14*1000*AE12*Assumptions!$H$18*Assumptions!$E$10*12*(1+Assumptions!$H$25)^(AE9-1),0)</x:f>
        <x:v>0</x:v>
      </x:c>
      <x:c r="AF19" s="16" t="n">
        <x:f>IF(AF10=1,Assumptions!$H$14*1000*AF12*Assumptions!$H$18*Assumptions!$E$10*12*(1+Assumptions!$H$25)^(AF9-1),0)</x:f>
        <x:v>0</x:v>
      </x:c>
      <x:c r="AG19" s="16" t="n">
        <x:f>IF(AG10=1,Assumptions!$H$14*1000*AG12*Assumptions!$H$18*Assumptions!$E$10*12*(1+Assumptions!$H$25)^(AG9-1),0)</x:f>
        <x:v>0</x:v>
      </x:c>
      <x:c r="AH19" s="16" t="n">
        <x:f>IF(AH10=1,Assumptions!$H$14*1000*AH12*Assumptions!$H$18*Assumptions!$E$10*12*(1+Assumptions!$H$25)^(AH9-1),0)</x:f>
        <x:v>0</x:v>
      </x:c>
      <x:c r="AI19" s="16" t="n">
        <x:f>IF(AI10=1,Assumptions!$H$14*1000*AI12*Assumptions!$H$18*Assumptions!$E$10*12*(1+Assumptions!$H$25)^(AI9-1),0)</x:f>
        <x:v>0</x:v>
      </x:c>
      <x:c r="AJ19" s="16" t="n">
        <x:f>IF(AJ10=1,Assumptions!$H$14*1000*AJ12*Assumptions!$H$18*Assumptions!$E$10*12*(1+Assumptions!$H$25)^(AJ9-1),0)</x:f>
        <x:v>0</x:v>
      </x:c>
      <x:c r="AK19" s="16" t="n">
        <x:f>IF(AK10=1,Assumptions!$H$14*1000*AK12*Assumptions!$H$18*Assumptions!$E$10*12*(1+Assumptions!$H$25)^(AK9-1),0)</x:f>
        <x:v>0</x:v>
      </x:c>
      <x:c r="AL19" s="16" t="n">
        <x:f>IF(AL10=1,Assumptions!$H$14*1000*AL12*Assumptions!$H$18*Assumptions!$E$10*12*(1+Assumptions!$H$25)^(AL9-1),0)</x:f>
        <x:v>0</x:v>
      </x:c>
      <x:c r="AM19" s="16" t="n">
        <x:f>IF(AM10=1,Assumptions!$H$14*1000*AM12*Assumptions!$H$18*Assumptions!$E$10*12*(1+Assumptions!$H$25)^(AM9-1),0)</x:f>
        <x:v>0</x:v>
      </x:c>
      <x:c r="AN19" s="16" t="n">
        <x:f>IF(AN10=1,Assumptions!$H$14*1000*AN12*Assumptions!$H$18*Assumptions!$E$10*12*(1+Assumptions!$H$25)^(AN9-1),0)</x:f>
        <x:v>0</x:v>
      </x:c>
      <x:c r="AO19" s="1"/>
    </x:row>
    <x:row r="20" ht="23" customHeight="1">
      <x:c r="A20" s="1"/>
      <x:c r="B20" s="1"/>
      <x:c r="C20" s="1" t="str">
        <x:v>Fixed operating costs</x:v>
      </x:c>
      <x:c r="D20" s="1"/>
      <x:c r="E20" s="12" t="n">
        <x:f>0</x:f>
        <x:v>0</x:v>
      </x:c>
      <x:c r="F20" s="12" t="n">
        <x:f>IF(F10=1,$E$70,0)</x:f>
        <x:v>0</x:v>
      </x:c>
      <x:c r="G20" s="12" t="n">
        <x:f>IF(G10=1,$E$70,0)</x:f>
        <x:v>2050000</x:v>
      </x:c>
      <x:c r="H20" s="12" t="n">
        <x:f>IF(H10=1,$E$70,0)</x:f>
        <x:v>2050000</x:v>
      </x:c>
      <x:c r="I20" s="12" t="n">
        <x:f>IF(I10=1,$E$70,0)</x:f>
        <x:v>2050000</x:v>
      </x:c>
      <x:c r="J20" s="12" t="n">
        <x:f>IF(J10=1,$E$70,0)</x:f>
        <x:v>2050000</x:v>
      </x:c>
      <x:c r="K20" s="12" t="n">
        <x:f>IF(K10=1,$E$70,0)</x:f>
        <x:v>2050000</x:v>
      </x:c>
      <x:c r="L20" s="12" t="n">
        <x:f>IF(L10=1,$E$70,0)</x:f>
        <x:v>2050000</x:v>
      </x:c>
      <x:c r="M20" s="12" t="n">
        <x:f>IF(M10=1,$E$70,0)</x:f>
        <x:v>2050000</x:v>
      </x:c>
      <x:c r="N20" s="12" t="n">
        <x:f>IF(N10=1,$E$70,0)</x:f>
        <x:v>2050000</x:v>
      </x:c>
      <x:c r="O20" s="12" t="n">
        <x:f>IF(O10=1,$E$70,0)</x:f>
        <x:v>2050000</x:v>
      </x:c>
      <x:c r="P20" s="12" t="n">
        <x:f>IF(P10=1,$E$70,0)</x:f>
        <x:v>2050000</x:v>
      </x:c>
      <x:c r="Q20" s="12" t="n">
        <x:f>IF(Q10=1,$E$70,0)</x:f>
        <x:v>2050000</x:v>
      </x:c>
      <x:c r="R20" s="12" t="n">
        <x:f>IF(R10=1,$E$70,0)</x:f>
        <x:v>2050000</x:v>
      </x:c>
      <x:c r="S20" s="12" t="n">
        <x:f>IF(S10=1,$E$70,0)</x:f>
        <x:v>2050000</x:v>
      </x:c>
      <x:c r="T20" s="12" t="n">
        <x:f>IF(T10=1,$E$70,0)</x:f>
        <x:v>2050000</x:v>
      </x:c>
      <x:c r="U20" s="12" t="n">
        <x:f>IF(U10=1,$E$70,0)</x:f>
        <x:v>2050000</x:v>
      </x:c>
      <x:c r="V20" s="12" t="n">
        <x:f>IF(V10=1,$E$70,0)</x:f>
        <x:v>0</x:v>
      </x:c>
      <x:c r="W20" s="12" t="n">
        <x:f>IF(W10=1,$E$70,0)</x:f>
        <x:v>0</x:v>
      </x:c>
      <x:c r="X20" s="12" t="n">
        <x:f>IF(X10=1,$E$70,0)</x:f>
        <x:v>0</x:v>
      </x:c>
      <x:c r="Y20" s="12" t="n">
        <x:f>IF(Y10=1,$E$70,0)</x:f>
        <x:v>0</x:v>
      </x:c>
      <x:c r="Z20" s="12" t="n">
        <x:f>IF(Z10=1,$E$70,0)</x:f>
        <x:v>0</x:v>
      </x:c>
      <x:c r="AA20" s="12" t="n">
        <x:f>IF(AA10=1,$E$70,0)</x:f>
        <x:v>0</x:v>
      </x:c>
      <x:c r="AB20" s="12" t="n">
        <x:f>IF(AB10=1,$E$70,0)</x:f>
        <x:v>0</x:v>
      </x:c>
      <x:c r="AC20" s="12" t="n">
        <x:f>IF(AC10=1,$E$70,0)</x:f>
        <x:v>0</x:v>
      </x:c>
      <x:c r="AD20" s="12" t="n">
        <x:f>IF(AD10=1,$E$70,0)</x:f>
        <x:v>0</x:v>
      </x:c>
      <x:c r="AE20" s="12" t="n">
        <x:f>IF(AE10=1,$E$70,0)</x:f>
        <x:v>0</x:v>
      </x:c>
      <x:c r="AF20" s="12" t="n">
        <x:f>IF(AF10=1,$E$70,0)</x:f>
        <x:v>0</x:v>
      </x:c>
      <x:c r="AG20" s="12" t="n">
        <x:f>IF(AG10=1,$E$70,0)</x:f>
        <x:v>0</x:v>
      </x:c>
      <x:c r="AH20" s="12" t="n">
        <x:f>IF(AH10=1,$E$70,0)</x:f>
        <x:v>0</x:v>
      </x:c>
      <x:c r="AI20" s="12" t="n">
        <x:f>IF(AI10=1,$E$70,0)</x:f>
        <x:v>0</x:v>
      </x:c>
      <x:c r="AJ20" s="12" t="n">
        <x:f>IF(AJ10=1,$E$70,0)</x:f>
        <x:v>0</x:v>
      </x:c>
      <x:c r="AK20" s="12" t="n">
        <x:f>IF(AK10=1,$E$70,0)</x:f>
        <x:v>0</x:v>
      </x:c>
      <x:c r="AL20" s="12" t="n">
        <x:f>IF(AL10=1,$E$70,0)</x:f>
        <x:v>0</x:v>
      </x:c>
      <x:c r="AM20" s="12" t="n">
        <x:f>IF(AM10=1,$E$70,0)</x:f>
        <x:v>0</x:v>
      </x:c>
      <x:c r="AN20" s="12" t="n">
        <x:f>IF(AN10=1,$E$70,0)</x:f>
        <x:v>0</x:v>
      </x:c>
      <x:c r="AO20" s="1"/>
    </x:row>
    <x:row r="21" ht="23" customHeight="1">
      <x:c r="A21" s="1"/>
      <x:c r="B21" s="1"/>
      <x:c r="C21" s="1" t="str">
        <x:v>EBITDA</x:v>
      </x:c>
      <x:c r="D21" s="1"/>
      <x:c r="E21" s="12" t="n">
        <x:f>0</x:f>
        <x:v>0</x:v>
      </x:c>
      <x:c r="F21" s="12" t="n">
        <x:f>F19-F17-F20</x:f>
        <x:v>0</x:v>
      </x:c>
      <x:c r="G21" s="12" t="n">
        <x:f>G19-G17-G20</x:f>
        <x:v>1987760</x:v>
      </x:c>
      <x:c r="H21" s="12" t="n">
        <x:f>H19-H17-H20</x:f>
        <x:v>3666920</x:v>
      </x:c>
      <x:c r="I21" s="12" t="n">
        <x:f>I19-I17-I20</x:f>
        <x:v>5440280</x:v>
      </x:c>
      <x:c r="J21" s="12" t="n">
        <x:f>J19-J17-J20</x:f>
        <x:v>6980266.400000002</x:v>
      </x:c>
      <x:c r="K21" s="12" t="n">
        <x:f>K19-K17-K20</x:f>
        <x:v>8147794.16</x:v>
      </x:c>
      <x:c r="L21" s="12" t="n">
        <x:f>L19-L17-L20</x:f>
        <x:v>8440050.8432</x:v>
      </x:c>
      <x:c r="M21" s="12" t="n">
        <x:f>M19-M17-M20</x:f>
        <x:v>8738152.660064</x:v>
      </x:c>
      <x:c r="N21" s="12" t="n">
        <x:f>N19-N17-N20</x:f>
        <x:v>9042216.51326528</x:v>
      </x:c>
      <x:c r="O21" s="12" t="n">
        <x:f>O19-O17-O20</x:f>
        <x:v>9352361.643530587</x:v>
      </x:c>
      <x:c r="P21" s="12" t="n">
        <x:f>P19-P17-P20</x:f>
        <x:v>9668709.6764012</x:v>
      </x:c>
      <x:c r="Q21" s="12" t="n">
        <x:f>Q19-Q17-Q20</x:f>
        <x:v>9991384.669929223</x:v>
      </x:c>
      <x:c r="R21" s="12" t="n">
        <x:f>R19-R17-R20</x:f>
        <x:v>10320513.16332781</x:v>
      </x:c>
      <x:c r="S21" s="12" t="n">
        <x:f>S19-S17-S20</x:f>
        <x:v>10656224.226594362</x:v>
      </x:c>
      <x:c r="T21" s="12" t="n">
        <x:f>T19-T17-T20</x:f>
        <x:v>10998649.511126254</x:v>
      </x:c>
      <x:c r="U21" s="12" t="n">
        <x:f>U19-U17-U20</x:f>
        <x:v>11347923.301348776</x:v>
      </x:c>
      <x:c r="V21" s="12" t="n">
        <x:f>V19-V17-V20</x:f>
        <x:v>0</x:v>
      </x:c>
      <x:c r="W21" s="12" t="n">
        <x:f>W19-W17-W20</x:f>
        <x:v>0</x:v>
      </x:c>
      <x:c r="X21" s="12" t="n">
        <x:f>X19-X17-X20</x:f>
        <x:v>0</x:v>
      </x:c>
      <x:c r="Y21" s="12" t="n">
        <x:f>Y19-Y17-Y20</x:f>
        <x:v>0</x:v>
      </x:c>
      <x:c r="Z21" s="12" t="n">
        <x:f>Z19-Z17-Z20</x:f>
        <x:v>0</x:v>
      </x:c>
      <x:c r="AA21" s="12" t="n">
        <x:f>AA19-AA17-AA20</x:f>
        <x:v>0</x:v>
      </x:c>
      <x:c r="AB21" s="12" t="n">
        <x:f>AB19-AB17-AB20</x:f>
        <x:v>0</x:v>
      </x:c>
      <x:c r="AC21" s="12" t="n">
        <x:f>AC19-AC17-AC20</x:f>
        <x:v>0</x:v>
      </x:c>
      <x:c r="AD21" s="12" t="n">
        <x:f>AD19-AD17-AD20</x:f>
        <x:v>0</x:v>
      </x:c>
      <x:c r="AE21" s="12" t="n">
        <x:f>AE19-AE17-AE20</x:f>
        <x:v>0</x:v>
      </x:c>
      <x:c r="AF21" s="12" t="n">
        <x:f>AF19-AF17-AF20</x:f>
        <x:v>0</x:v>
      </x:c>
      <x:c r="AG21" s="12" t="n">
        <x:f>AG19-AG17-AG20</x:f>
        <x:v>0</x:v>
      </x:c>
      <x:c r="AH21" s="12" t="n">
        <x:f>AH19-AH17-AH20</x:f>
        <x:v>0</x:v>
      </x:c>
      <x:c r="AI21" s="12" t="n">
        <x:f>AI19-AI17-AI20</x:f>
        <x:v>0</x:v>
      </x:c>
      <x:c r="AJ21" s="12" t="n">
        <x:f>AJ19-AJ17-AJ20</x:f>
        <x:v>0</x:v>
      </x:c>
      <x:c r="AK21" s="12" t="n">
        <x:f>AK19-AK17-AK20</x:f>
        <x:v>0</x:v>
      </x:c>
      <x:c r="AL21" s="12" t="n">
        <x:f>AL19-AL17-AL20</x:f>
        <x:v>0</x:v>
      </x:c>
      <x:c r="AM21" s="12" t="n">
        <x:f>AM19-AM17-AM20</x:f>
        <x:v>0</x:v>
      </x:c>
      <x:c r="AN21" s="12" t="n">
        <x:f>AN19-AN17-AN20</x:f>
        <x:v>0</x:v>
      </x:c>
      <x:c r="AO21" s="1"/>
    </x:row>
    <x:row r="22" ht="23" customHeight="1">
      <x:c r="A22" s="1"/>
      <x:c r="B22" s="1"/>
      <x:c r="C22" s="1"/>
      <x:c r="D22" s="1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  <x:c r="X22" s="12"/>
      <x:c r="Y22" s="12"/>
      <x:c r="Z22" s="12"/>
      <x:c r="AA22" s="12"/>
      <x:c r="AB22" s="12"/>
      <x:c r="AC22" s="12"/>
      <x:c r="AD22" s="12"/>
      <x:c r="AE22" s="12"/>
      <x:c r="AF22" s="12"/>
      <x:c r="AG22" s="12"/>
      <x:c r="AH22" s="12"/>
      <x:c r="AI22" s="12"/>
      <x:c r="AJ22" s="12"/>
      <x:c r="AK22" s="12"/>
      <x:c r="AL22" s="12"/>
      <x:c r="AM22" s="12"/>
      <x:c r="AN22" s="12"/>
      <x:c r="AO22" s="1"/>
    </x:row>
    <x:row r="23" ht="23" customHeight="1">
      <x:c r="A23" s="1"/>
      <x:c r="B23" s="1"/>
      <x:c r="C23" s="1"/>
      <x:c r="D23" s="1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  <x:c r="X23" s="12"/>
      <x:c r="Y23" s="12"/>
      <x:c r="Z23" s="12"/>
      <x:c r="AA23" s="12"/>
      <x:c r="AB23" s="12"/>
      <x:c r="AC23" s="12"/>
      <x:c r="AD23" s="12"/>
      <x:c r="AE23" s="12"/>
      <x:c r="AF23" s="12"/>
      <x:c r="AG23" s="12"/>
      <x:c r="AH23" s="12"/>
      <x:c r="AI23" s="12"/>
      <x:c r="AJ23" s="12"/>
      <x:c r="AK23" s="12"/>
      <x:c r="AL23" s="12"/>
      <x:c r="AM23" s="12"/>
      <x:c r="AN23" s="12"/>
      <x:c r="AO23" s="1"/>
    </x:row>
    <x:row r="24" ht="23" customHeight="1">
      <x:c r="A24" s="1"/>
      <x:c r="B24" s="1"/>
      <x:c r="C24" s="1" t="str">
        <x:v>Development spending</x:v>
      </x:c>
      <x:c r="D24" s="1"/>
      <x:c r="E24" s="12" t="n">
        <x:f>$E$66</x:f>
        <x:v>52500000</x:v>
      </x:c>
      <x:c r="F24" s="16" t="n">
        <x:f>IF(F8&lt;Assumptions!$H$15,$E$66,0)</x:f>
        <x:v>0</x:v>
      </x:c>
      <x:c r="G24" s="16" t="n">
        <x:f>IF(G8&lt;Assumptions!$H$15,$E$66,0)</x:f>
        <x:v>0</x:v>
      </x:c>
      <x:c r="H24" s="16" t="n">
        <x:f>IF(H8&lt;Assumptions!$H$15,$E$66,0)</x:f>
        <x:v>0</x:v>
      </x:c>
      <x:c r="I24" s="16" t="n">
        <x:f>IF(I8&lt;Assumptions!$H$15,$E$66,0)</x:f>
        <x:v>0</x:v>
      </x:c>
      <x:c r="J24" s="16" t="n">
        <x:f>IF(J8&lt;Assumptions!$H$15,$E$66,0)</x:f>
        <x:v>0</x:v>
      </x:c>
      <x:c r="K24" s="16" t="n">
        <x:f>IF(K8&lt;Assumptions!$H$15,$E$66,0)</x:f>
        <x:v>0</x:v>
      </x:c>
      <x:c r="L24" s="16" t="n">
        <x:f>IF(L8&lt;Assumptions!$H$15,$E$66,0)</x:f>
        <x:v>0</x:v>
      </x:c>
      <x:c r="M24" s="16" t="n">
        <x:f>IF(M8&lt;Assumptions!$H$15,$E$66,0)</x:f>
        <x:v>0</x:v>
      </x:c>
      <x:c r="N24" s="16" t="n">
        <x:f>IF(N8&lt;Assumptions!$H$15,$E$66,0)</x:f>
        <x:v>0</x:v>
      </x:c>
      <x:c r="O24" s="16" t="n">
        <x:f>IF(O8&lt;Assumptions!$H$15,$E$66,0)</x:f>
        <x:v>0</x:v>
      </x:c>
      <x:c r="P24" s="16" t="n">
        <x:f>IF(P8&lt;Assumptions!$H$15,$E$66,0)</x:f>
        <x:v>0</x:v>
      </x:c>
      <x:c r="Q24" s="16" t="n">
        <x:f>IF(Q8&lt;Assumptions!$H$15,$E$66,0)</x:f>
        <x:v>0</x:v>
      </x:c>
      <x:c r="R24" s="16" t="n">
        <x:f>IF(R8&lt;Assumptions!$H$15,$E$66,0)</x:f>
        <x:v>0</x:v>
      </x:c>
      <x:c r="S24" s="16" t="n">
        <x:f>IF(S8&lt;Assumptions!$H$15,$E$66,0)</x:f>
        <x:v>0</x:v>
      </x:c>
      <x:c r="T24" s="16" t="n">
        <x:f>IF(T8&lt;Assumptions!$H$15,$E$66,0)</x:f>
        <x:v>0</x:v>
      </x:c>
      <x:c r="U24" s="16" t="n">
        <x:f>IF(U8&lt;Assumptions!$H$15,$E$66,0)</x:f>
        <x:v>0</x:v>
      </x:c>
      <x:c r="V24" s="16" t="n">
        <x:f>IF(V8&lt;Assumptions!$H$15,$E$66,0)</x:f>
        <x:v>0</x:v>
      </x:c>
      <x:c r="W24" s="16" t="n">
        <x:f>IF(W8&lt;Assumptions!$H$15,$E$66,0)</x:f>
        <x:v>0</x:v>
      </x:c>
      <x:c r="X24" s="16" t="n">
        <x:f>IF(X8&lt;Assumptions!$H$15,$E$66,0)</x:f>
        <x:v>0</x:v>
      </x:c>
      <x:c r="Y24" s="16" t="n">
        <x:f>IF(Y8&lt;Assumptions!$H$15,$E$66,0)</x:f>
        <x:v>0</x:v>
      </x:c>
      <x:c r="Z24" s="16" t="n">
        <x:f>IF(Z8&lt;Assumptions!$H$15,$E$66,0)</x:f>
        <x:v>0</x:v>
      </x:c>
      <x:c r="AA24" s="16" t="n">
        <x:f>IF(AA8&lt;Assumptions!$H$15,$E$66,0)</x:f>
        <x:v>0</x:v>
      </x:c>
      <x:c r="AB24" s="16" t="n">
        <x:f>IF(AB8&lt;Assumptions!$H$15,$E$66,0)</x:f>
        <x:v>0</x:v>
      </x:c>
      <x:c r="AC24" s="16" t="n">
        <x:f>IF(AC8&lt;Assumptions!$H$15,$E$66,0)</x:f>
        <x:v>0</x:v>
      </x:c>
      <x:c r="AD24" s="16" t="n">
        <x:f>IF(AD8&lt;Assumptions!$H$15,$E$66,0)</x:f>
        <x:v>0</x:v>
      </x:c>
      <x:c r="AE24" s="16" t="n">
        <x:f>IF(AE8&lt;Assumptions!$H$15,$E$66,0)</x:f>
        <x:v>0</x:v>
      </x:c>
      <x:c r="AF24" s="16" t="n">
        <x:f>IF(AF8&lt;Assumptions!$H$15,$E$66,0)</x:f>
        <x:v>0</x:v>
      </x:c>
      <x:c r="AG24" s="16" t="n">
        <x:f>IF(AG8&lt;Assumptions!$H$15,$E$66,0)</x:f>
        <x:v>0</x:v>
      </x:c>
      <x:c r="AH24" s="16" t="n">
        <x:f>IF(AH8&lt;Assumptions!$H$15,$E$66,0)</x:f>
        <x:v>0</x:v>
      </x:c>
      <x:c r="AI24" s="16" t="n">
        <x:f>IF(AI8&lt;Assumptions!$H$15,$E$66,0)</x:f>
        <x:v>0</x:v>
      </x:c>
      <x:c r="AJ24" s="16" t="n">
        <x:f>IF(AJ8&lt;Assumptions!$H$15,$E$66,0)</x:f>
        <x:v>0</x:v>
      </x:c>
      <x:c r="AK24" s="16" t="n">
        <x:f>IF(AK8&lt;Assumptions!$H$15,$E$66,0)</x:f>
        <x:v>0</x:v>
      </x:c>
      <x:c r="AL24" s="16" t="n">
        <x:f>IF(AL8&lt;Assumptions!$H$15,$E$66,0)</x:f>
        <x:v>0</x:v>
      </x:c>
      <x:c r="AM24" s="16" t="n">
        <x:f>IF(AM8&lt;Assumptions!$H$15,$E$66,0)</x:f>
        <x:v>0</x:v>
      </x:c>
      <x:c r="AN24" s="16" t="n">
        <x:f>IF(AN8&lt;Assumptions!$H$15,$E$66,0)</x:f>
        <x:v>0</x:v>
      </x:c>
      <x:c r="AO24" s="1"/>
    </x:row>
    <x:row r="25" ht="23" customHeight="1">
      <x:c r="A25" s="1"/>
      <x:c r="B25" s="1"/>
      <x:c r="C25" s="1" t="str">
        <x:v>Depreciation</x:v>
      </x:c>
      <x:c r="D25" s="1"/>
      <x:c r="E25" s="12" t="n">
        <x:f>0</x:f>
        <x:v>0</x:v>
      </x:c>
      <x:c r="F25" s="12" t="n">
        <x:f>IF(F10=1,$E$68,0)</x:f>
        <x:v>0</x:v>
      </x:c>
      <x:c r="G25" s="12" t="n">
        <x:f>IF(G10=1,$E$68,0)</x:f>
        <x:v>2800000</x:v>
      </x:c>
      <x:c r="H25" s="12" t="n">
        <x:f>IF(H10=1,$E$68,0)</x:f>
        <x:v>2800000</x:v>
      </x:c>
      <x:c r="I25" s="12" t="n">
        <x:f>IF(I10=1,$E$68,0)</x:f>
        <x:v>2800000</x:v>
      </x:c>
      <x:c r="J25" s="12" t="n">
        <x:f>IF(J10=1,$E$68,0)</x:f>
        <x:v>2800000</x:v>
      </x:c>
      <x:c r="K25" s="12" t="n">
        <x:f>IF(K10=1,$E$68,0)</x:f>
        <x:v>2800000</x:v>
      </x:c>
      <x:c r="L25" s="12" t="n">
        <x:f>IF(L10=1,$E$68,0)</x:f>
        <x:v>2800000</x:v>
      </x:c>
      <x:c r="M25" s="12" t="n">
        <x:f>IF(M10=1,$E$68,0)</x:f>
        <x:v>2800000</x:v>
      </x:c>
      <x:c r="N25" s="12" t="n">
        <x:f>IF(N10=1,$E$68,0)</x:f>
        <x:v>2800000</x:v>
      </x:c>
      <x:c r="O25" s="12" t="n">
        <x:f>IF(O10=1,$E$68,0)</x:f>
        <x:v>2800000</x:v>
      </x:c>
      <x:c r="P25" s="12" t="n">
        <x:f>IF(P10=1,$E$68,0)</x:f>
        <x:v>2800000</x:v>
      </x:c>
      <x:c r="Q25" s="12" t="n">
        <x:f>IF(Q10=1,$E$68,0)</x:f>
        <x:v>2800000</x:v>
      </x:c>
      <x:c r="R25" s="12" t="n">
        <x:f>IF(R10=1,$E$68,0)</x:f>
        <x:v>2800000</x:v>
      </x:c>
      <x:c r="S25" s="12" t="n">
        <x:f>IF(S10=1,$E$68,0)</x:f>
        <x:v>2800000</x:v>
      </x:c>
      <x:c r="T25" s="12" t="n">
        <x:f>IF(T10=1,$E$68,0)</x:f>
        <x:v>2800000</x:v>
      </x:c>
      <x:c r="U25" s="12" t="n">
        <x:f>IF(U10=1,$E$68,0)</x:f>
        <x:v>2800000</x:v>
      </x:c>
      <x:c r="V25" s="12" t="n">
        <x:f>IF(V10=1,$E$68,0)</x:f>
        <x:v>0</x:v>
      </x:c>
      <x:c r="W25" s="12" t="n">
        <x:f>IF(W10=1,$E$68,0)</x:f>
        <x:v>0</x:v>
      </x:c>
      <x:c r="X25" s="12" t="n">
        <x:f>IF(X10=1,$E$68,0)</x:f>
        <x:v>0</x:v>
      </x:c>
      <x:c r="Y25" s="12" t="n">
        <x:f>IF(Y10=1,$E$68,0)</x:f>
        <x:v>0</x:v>
      </x:c>
      <x:c r="Z25" s="12" t="n">
        <x:f>IF(Z10=1,$E$68,0)</x:f>
        <x:v>0</x:v>
      </x:c>
      <x:c r="AA25" s="12" t="n">
        <x:f>IF(AA10=1,$E$68,0)</x:f>
        <x:v>0</x:v>
      </x:c>
      <x:c r="AB25" s="12" t="n">
        <x:f>IF(AB10=1,$E$68,0)</x:f>
        <x:v>0</x:v>
      </x:c>
      <x:c r="AC25" s="12" t="n">
        <x:f>IF(AC10=1,$E$68,0)</x:f>
        <x:v>0</x:v>
      </x:c>
      <x:c r="AD25" s="12" t="n">
        <x:f>IF(AD10=1,$E$68,0)</x:f>
        <x:v>0</x:v>
      </x:c>
      <x:c r="AE25" s="12" t="n">
        <x:f>IF(AE10=1,$E$68,0)</x:f>
        <x:v>0</x:v>
      </x:c>
      <x:c r="AF25" s="12" t="n">
        <x:f>IF(AF10=1,$E$68,0)</x:f>
        <x:v>0</x:v>
      </x:c>
      <x:c r="AG25" s="12" t="n">
        <x:f>IF(AG10=1,$E$68,0)</x:f>
        <x:v>0</x:v>
      </x:c>
      <x:c r="AH25" s="12" t="n">
        <x:f>IF(AH10=1,$E$68,0)</x:f>
        <x:v>0</x:v>
      </x:c>
      <x:c r="AI25" s="12" t="n">
        <x:f>IF(AI10=1,$E$68,0)</x:f>
        <x:v>0</x:v>
      </x:c>
      <x:c r="AJ25" s="12" t="n">
        <x:f>IF(AJ10=1,$E$68,0)</x:f>
        <x:v>0</x:v>
      </x:c>
      <x:c r="AK25" s="12" t="n">
        <x:f>IF(AK10=1,$E$68,0)</x:f>
        <x:v>0</x:v>
      </x:c>
      <x:c r="AL25" s="12" t="n">
        <x:f>IF(AL10=1,$E$68,0)</x:f>
        <x:v>0</x:v>
      </x:c>
      <x:c r="AM25" s="12" t="n">
        <x:f>IF(AM10=1,$E$68,0)</x:f>
        <x:v>0</x:v>
      </x:c>
      <x:c r="AN25" s="12" t="n">
        <x:f>IF(AN10=1,$E$68,0)</x:f>
        <x:v>0</x:v>
      </x:c>
      <x:c r="AO25" s="1"/>
    </x:row>
    <x:row r="26" ht="23" customHeight="1">
      <x:c r="A26" s="1"/>
      <x:c r="B26" s="1"/>
      <x:c r="C26" s="1" t="str">
        <x:v>Unlevered cash taxes</x:v>
      </x:c>
      <x:c r="D26" s="1"/>
      <x:c r="E26" s="12" t="n">
        <x:f>0</x:f>
        <x:v>0</x:v>
      </x:c>
      <x:c r="F26" s="16" t="n">
        <x:f>MAX(0,F21-F25)*Assumptions!$H$31</x:f>
        <x:v>0</x:v>
      </x:c>
      <x:c r="G26" s="16" t="n">
        <x:f>MAX(0,G21-G25)*Assumptions!$H$31</x:f>
        <x:v>0</x:v>
      </x:c>
      <x:c r="H26" s="16" t="n">
        <x:f>MAX(0,H21-H25)*Assumptions!$H$31</x:f>
        <x:v>216730</x:v>
      </x:c>
      <x:c r="I26" s="16" t="n">
        <x:f>MAX(0,I21-I25)*Assumptions!$H$31</x:f>
        <x:v>660070</x:v>
      </x:c>
      <x:c r="J26" s="16" t="n">
        <x:f>MAX(0,J21-J25)*Assumptions!$H$31</x:f>
        <x:v>1045066.6000000006</x:v>
      </x:c>
      <x:c r="K26" s="16" t="n">
        <x:f>MAX(0,K21-K25)*Assumptions!$H$31</x:f>
        <x:v>1336948.54</x:v>
      </x:c>
      <x:c r="L26" s="16" t="n">
        <x:f>MAX(0,L21-L25)*Assumptions!$H$31</x:f>
        <x:v>1410012.7108</x:v>
      </x:c>
      <x:c r="M26" s="16" t="n">
        <x:f>MAX(0,M21-M25)*Assumptions!$H$31</x:f>
        <x:v>1484538.1650160002</x:v>
      </x:c>
      <x:c r="N26" s="16" t="n">
        <x:f>MAX(0,N21-N25)*Assumptions!$H$31</x:f>
        <x:v>1560554.12831632</x:v>
      </x:c>
      <x:c r="O26" s="16" t="n">
        <x:f>MAX(0,O21-O25)*Assumptions!$H$31</x:f>
        <x:v>1638090.4108826467</x:v>
      </x:c>
      <x:c r="P26" s="16" t="n">
        <x:f>MAX(0,P21-P25)*Assumptions!$H$31</x:f>
        <x:v>1717177.4191003</x:v>
      </x:c>
      <x:c r="Q26" s="16" t="n">
        <x:f>MAX(0,Q21-Q25)*Assumptions!$H$31</x:f>
        <x:v>1797846.1674823058</x:v>
      </x:c>
      <x:c r="R26" s="16" t="n">
        <x:f>MAX(0,R21-R25)*Assumptions!$H$31</x:f>
        <x:v>1880128.2908319524</x:v>
      </x:c>
      <x:c r="S26" s="16" t="n">
        <x:f>MAX(0,S21-S25)*Assumptions!$H$31</x:f>
        <x:v>1964056.0566485906</x:v>
      </x:c>
      <x:c r="T26" s="16" t="n">
        <x:f>MAX(0,T21-T25)*Assumptions!$H$31</x:f>
        <x:v>2049662.3777815634</x:v>
      </x:c>
      <x:c r="U26" s="16" t="n">
        <x:f>MAX(0,U21-U25)*Assumptions!$H$31</x:f>
        <x:v>2136980.825337194</x:v>
      </x:c>
      <x:c r="V26" s="16" t="n">
        <x:f>MAX(0,V21-V25)*Assumptions!$H$31</x:f>
        <x:v>0</x:v>
      </x:c>
      <x:c r="W26" s="16" t="n">
        <x:f>MAX(0,W21-W25)*Assumptions!$H$31</x:f>
        <x:v>0</x:v>
      </x:c>
      <x:c r="X26" s="16" t="n">
        <x:f>MAX(0,X21-X25)*Assumptions!$H$31</x:f>
        <x:v>0</x:v>
      </x:c>
      <x:c r="Y26" s="16" t="n">
        <x:f>MAX(0,Y21-Y25)*Assumptions!$H$31</x:f>
        <x:v>0</x:v>
      </x:c>
      <x:c r="Z26" s="16" t="n">
        <x:f>MAX(0,Z21-Z25)*Assumptions!$H$31</x:f>
        <x:v>0</x:v>
      </x:c>
      <x:c r="AA26" s="16" t="n">
        <x:f>MAX(0,AA21-AA25)*Assumptions!$H$31</x:f>
        <x:v>0</x:v>
      </x:c>
      <x:c r="AB26" s="16" t="n">
        <x:f>MAX(0,AB21-AB25)*Assumptions!$H$31</x:f>
        <x:v>0</x:v>
      </x:c>
      <x:c r="AC26" s="16" t="n">
        <x:f>MAX(0,AC21-AC25)*Assumptions!$H$31</x:f>
        <x:v>0</x:v>
      </x:c>
      <x:c r="AD26" s="16" t="n">
        <x:f>MAX(0,AD21-AD25)*Assumptions!$H$31</x:f>
        <x:v>0</x:v>
      </x:c>
      <x:c r="AE26" s="16" t="n">
        <x:f>MAX(0,AE21-AE25)*Assumptions!$H$31</x:f>
        <x:v>0</x:v>
      </x:c>
      <x:c r="AF26" s="16" t="n">
        <x:f>MAX(0,AF21-AF25)*Assumptions!$H$31</x:f>
        <x:v>0</x:v>
      </x:c>
      <x:c r="AG26" s="16" t="n">
        <x:f>MAX(0,AG21-AG25)*Assumptions!$H$31</x:f>
        <x:v>0</x:v>
      </x:c>
      <x:c r="AH26" s="16" t="n">
        <x:f>MAX(0,AH21-AH25)*Assumptions!$H$31</x:f>
        <x:v>0</x:v>
      </x:c>
      <x:c r="AI26" s="16" t="n">
        <x:f>MAX(0,AI21-AI25)*Assumptions!$H$31</x:f>
        <x:v>0</x:v>
      </x:c>
      <x:c r="AJ26" s="16" t="n">
        <x:f>MAX(0,AJ21-AJ25)*Assumptions!$H$31</x:f>
        <x:v>0</x:v>
      </x:c>
      <x:c r="AK26" s="16" t="n">
        <x:f>MAX(0,AK21-AK25)*Assumptions!$H$31</x:f>
        <x:v>0</x:v>
      </x:c>
      <x:c r="AL26" s="16" t="n">
        <x:f>MAX(0,AL21-AL25)*Assumptions!$H$31</x:f>
        <x:v>0</x:v>
      </x:c>
      <x:c r="AM26" s="16" t="n">
        <x:f>MAX(0,AM21-AM25)*Assumptions!$H$31</x:f>
        <x:v>0</x:v>
      </x:c>
      <x:c r="AN26" s="16" t="n">
        <x:f>MAX(0,AN21-AN25)*Assumptions!$H$31</x:f>
        <x:v>0</x:v>
      </x:c>
      <x:c r="AO26" s="1"/>
    </x:row>
    <x:row r="27" ht="23" customHeight="1">
      <x:c r="A27" s="1"/>
      <x:c r="B27" s="1"/>
      <x:c r="C27" s="1" t="str">
        <x:v>Opening debt</x:v>
      </x:c>
      <x:c r="D27" s="1"/>
      <x:c r="E27" s="12" t="n">
        <x:f>0</x:f>
        <x:v>0</x:v>
      </x:c>
      <x:c r="F27" s="12" t="n">
        <x:f>E32</x:f>
        <x:v>21000000</x:v>
      </x:c>
      <x:c r="G27" s="12" t="n">
        <x:f>F32</x:f>
        <x:v>21000000</x:v>
      </x:c>
      <x:c r="H27" s="12" t="n">
        <x:f>G32</x:f>
        <x:v>21000000</x:v>
      </x:c>
      <x:c r="I27" s="12" t="n">
        <x:f>H32</x:f>
        <x:v>18666666.666666668</x:v>
      </x:c>
      <x:c r="J27" s="12" t="n">
        <x:f>I32</x:f>
        <x:v>16333333.333333334</x:v>
      </x:c>
      <x:c r="K27" s="12" t="n">
        <x:f>J32</x:f>
        <x:v>14000000</x:v>
      </x:c>
      <x:c r="L27" s="12" t="n">
        <x:f>K32</x:f>
        <x:v>11666666.666666666</x:v>
      </x:c>
      <x:c r="M27" s="12" t="n">
        <x:f>L32</x:f>
        <x:v>9333333.333333332</x:v>
      </x:c>
      <x:c r="N27" s="12" t="n">
        <x:f>M32</x:f>
        <x:v>6999999.999999998</x:v>
      </x:c>
      <x:c r="O27" s="12" t="n">
        <x:f>N32</x:f>
        <x:v>4666666.666666664</x:v>
      </x:c>
      <x:c r="P27" s="12" t="n">
        <x:f>O32</x:f>
        <x:v>2333333.3333333307</x:v>
      </x:c>
      <x:c r="Q27" s="12" t="n">
        <x:f>P32</x:f>
        <x:v>0</x:v>
      </x:c>
      <x:c r="R27" s="12" t="n">
        <x:f>Q32</x:f>
        <x:v>0</x:v>
      </x:c>
      <x:c r="S27" s="12" t="n">
        <x:f>R32</x:f>
        <x:v>0</x:v>
      </x:c>
      <x:c r="T27" s="12" t="n">
        <x:f>S32</x:f>
        <x:v>0</x:v>
      </x:c>
      <x:c r="U27" s="12" t="n">
        <x:f>T32</x:f>
        <x:v>0</x:v>
      </x:c>
      <x:c r="V27" s="12" t="n">
        <x:f>U32</x:f>
        <x:v>0</x:v>
      </x:c>
      <x:c r="W27" s="12" t="n">
        <x:f>V32</x:f>
        <x:v>0</x:v>
      </x:c>
      <x:c r="X27" s="12" t="n">
        <x:f>W32</x:f>
        <x:v>0</x:v>
      </x:c>
      <x:c r="Y27" s="12" t="n">
        <x:f>X32</x:f>
        <x:v>0</x:v>
      </x:c>
      <x:c r="Z27" s="12" t="n">
        <x:f>Y32</x:f>
        <x:v>0</x:v>
      </x:c>
      <x:c r="AA27" s="12" t="n">
        <x:f>Z32</x:f>
        <x:v>0</x:v>
      </x:c>
      <x:c r="AB27" s="12" t="n">
        <x:f>AA32</x:f>
        <x:v>0</x:v>
      </x:c>
      <x:c r="AC27" s="12" t="n">
        <x:f>AB32</x:f>
        <x:v>0</x:v>
      </x:c>
      <x:c r="AD27" s="12" t="n">
        <x:f>AC32</x:f>
        <x:v>0</x:v>
      </x:c>
      <x:c r="AE27" s="12" t="n">
        <x:f>AD32</x:f>
        <x:v>0</x:v>
      </x:c>
      <x:c r="AF27" s="12" t="n">
        <x:f>AE32</x:f>
        <x:v>0</x:v>
      </x:c>
      <x:c r="AG27" s="12" t="n">
        <x:f>AF32</x:f>
        <x:v>0</x:v>
      </x:c>
      <x:c r="AH27" s="12" t="n">
        <x:f>AG32</x:f>
        <x:v>0</x:v>
      </x:c>
      <x:c r="AI27" s="12" t="n">
        <x:f>AH32</x:f>
        <x:v>0</x:v>
      </x:c>
      <x:c r="AJ27" s="12" t="n">
        <x:f>AI32</x:f>
        <x:v>0</x:v>
      </x:c>
      <x:c r="AK27" s="12" t="n">
        <x:f>AJ32</x:f>
        <x:v>0</x:v>
      </x:c>
      <x:c r="AL27" s="12" t="n">
        <x:f>AK32</x:f>
        <x:v>0</x:v>
      </x:c>
      <x:c r="AM27" s="12" t="n">
        <x:f>AL32</x:f>
        <x:v>0</x:v>
      </x:c>
      <x:c r="AN27" s="12" t="n">
        <x:f>AM32</x:f>
        <x:v>0</x:v>
      </x:c>
      <x:c r="AO27" s="1"/>
    </x:row>
    <x:row r="28" ht="23" customHeight="1">
      <x:c r="A28" s="1"/>
      <x:c r="B28" s="1"/>
      <x:c r="C28" s="1" t="str">
        <x:v>Debt draw</x:v>
      </x:c>
      <x:c r="D28" s="1"/>
      <x:c r="E28" s="12" t="n">
        <x:f>$E$67</x:f>
        <x:v>21000000</x:v>
      </x:c>
      <x:c r="F28" s="16" t="n">
        <x:f>IF(F8&lt;Assumptions!$H$15,$E$67,0)</x:f>
        <x:v>0</x:v>
      </x:c>
      <x:c r="G28" s="16" t="n">
        <x:f>IF(G8&lt;Assumptions!$H$15,$E$67,0)</x:f>
        <x:v>0</x:v>
      </x:c>
      <x:c r="H28" s="16" t="n">
        <x:f>IF(H8&lt;Assumptions!$H$15,$E$67,0)</x:f>
        <x:v>0</x:v>
      </x:c>
      <x:c r="I28" s="16" t="n">
        <x:f>IF(I8&lt;Assumptions!$H$15,$E$67,0)</x:f>
        <x:v>0</x:v>
      </x:c>
      <x:c r="J28" s="16" t="n">
        <x:f>IF(J8&lt;Assumptions!$H$15,$E$67,0)</x:f>
        <x:v>0</x:v>
      </x:c>
      <x:c r="K28" s="16" t="n">
        <x:f>IF(K8&lt;Assumptions!$H$15,$E$67,0)</x:f>
        <x:v>0</x:v>
      </x:c>
      <x:c r="L28" s="16" t="n">
        <x:f>IF(L8&lt;Assumptions!$H$15,$E$67,0)</x:f>
        <x:v>0</x:v>
      </x:c>
      <x:c r="M28" s="16" t="n">
        <x:f>IF(M8&lt;Assumptions!$H$15,$E$67,0)</x:f>
        <x:v>0</x:v>
      </x:c>
      <x:c r="N28" s="16" t="n">
        <x:f>IF(N8&lt;Assumptions!$H$15,$E$67,0)</x:f>
        <x:v>0</x:v>
      </x:c>
      <x:c r="O28" s="16" t="n">
        <x:f>IF(O8&lt;Assumptions!$H$15,$E$67,0)</x:f>
        <x:v>0</x:v>
      </x:c>
      <x:c r="P28" s="16" t="n">
        <x:f>IF(P8&lt;Assumptions!$H$15,$E$67,0)</x:f>
        <x:v>0</x:v>
      </x:c>
      <x:c r="Q28" s="16" t="n">
        <x:f>IF(Q8&lt;Assumptions!$H$15,$E$67,0)</x:f>
        <x:v>0</x:v>
      </x:c>
      <x:c r="R28" s="16" t="n">
        <x:f>IF(R8&lt;Assumptions!$H$15,$E$67,0)</x:f>
        <x:v>0</x:v>
      </x:c>
      <x:c r="S28" s="16" t="n">
        <x:f>IF(S8&lt;Assumptions!$H$15,$E$67,0)</x:f>
        <x:v>0</x:v>
      </x:c>
      <x:c r="T28" s="16" t="n">
        <x:f>IF(T8&lt;Assumptions!$H$15,$E$67,0)</x:f>
        <x:v>0</x:v>
      </x:c>
      <x:c r="U28" s="16" t="n">
        <x:f>IF(U8&lt;Assumptions!$H$15,$E$67,0)</x:f>
        <x:v>0</x:v>
      </x:c>
      <x:c r="V28" s="16" t="n">
        <x:f>IF(V8&lt;Assumptions!$H$15,$E$67,0)</x:f>
        <x:v>0</x:v>
      </x:c>
      <x:c r="W28" s="16" t="n">
        <x:f>IF(W8&lt;Assumptions!$H$15,$E$67,0)</x:f>
        <x:v>0</x:v>
      </x:c>
      <x:c r="X28" s="16" t="n">
        <x:f>IF(X8&lt;Assumptions!$H$15,$E$67,0)</x:f>
        <x:v>0</x:v>
      </x:c>
      <x:c r="Y28" s="16" t="n">
        <x:f>IF(Y8&lt;Assumptions!$H$15,$E$67,0)</x:f>
        <x:v>0</x:v>
      </x:c>
      <x:c r="Z28" s="16" t="n">
        <x:f>IF(Z8&lt;Assumptions!$H$15,$E$67,0)</x:f>
        <x:v>0</x:v>
      </x:c>
      <x:c r="AA28" s="16" t="n">
        <x:f>IF(AA8&lt;Assumptions!$H$15,$E$67,0)</x:f>
        <x:v>0</x:v>
      </x:c>
      <x:c r="AB28" s="16" t="n">
        <x:f>IF(AB8&lt;Assumptions!$H$15,$E$67,0)</x:f>
        <x:v>0</x:v>
      </x:c>
      <x:c r="AC28" s="16" t="n">
        <x:f>IF(AC8&lt;Assumptions!$H$15,$E$67,0)</x:f>
        <x:v>0</x:v>
      </x:c>
      <x:c r="AD28" s="16" t="n">
        <x:f>IF(AD8&lt;Assumptions!$H$15,$E$67,0)</x:f>
        <x:v>0</x:v>
      </x:c>
      <x:c r="AE28" s="16" t="n">
        <x:f>IF(AE8&lt;Assumptions!$H$15,$E$67,0)</x:f>
        <x:v>0</x:v>
      </x:c>
      <x:c r="AF28" s="16" t="n">
        <x:f>IF(AF8&lt;Assumptions!$H$15,$E$67,0)</x:f>
        <x:v>0</x:v>
      </x:c>
      <x:c r="AG28" s="16" t="n">
        <x:f>IF(AG8&lt;Assumptions!$H$15,$E$67,0)</x:f>
        <x:v>0</x:v>
      </x:c>
      <x:c r="AH28" s="16" t="n">
        <x:f>IF(AH8&lt;Assumptions!$H$15,$E$67,0)</x:f>
        <x:v>0</x:v>
      </x:c>
      <x:c r="AI28" s="16" t="n">
        <x:f>IF(AI8&lt;Assumptions!$H$15,$E$67,0)</x:f>
        <x:v>0</x:v>
      </x:c>
      <x:c r="AJ28" s="16" t="n">
        <x:f>IF(AJ8&lt;Assumptions!$H$15,$E$67,0)</x:f>
        <x:v>0</x:v>
      </x:c>
      <x:c r="AK28" s="16" t="n">
        <x:f>IF(AK8&lt;Assumptions!$H$15,$E$67,0)</x:f>
        <x:v>0</x:v>
      </x:c>
      <x:c r="AL28" s="16" t="n">
        <x:f>IF(AL8&lt;Assumptions!$H$15,$E$67,0)</x:f>
        <x:v>0</x:v>
      </x:c>
      <x:c r="AM28" s="16" t="n">
        <x:f>IF(AM8&lt;Assumptions!$H$15,$E$67,0)</x:f>
        <x:v>0</x:v>
      </x:c>
      <x:c r="AN28" s="16" t="n">
        <x:f>IF(AN8&lt;Assumptions!$H$15,$E$67,0)</x:f>
        <x:v>0</x:v>
      </x:c>
      <x:c r="AO28" s="1"/>
    </x:row>
    <x:row r="29" ht="23" customHeight="1">
      <x:c r="A29" s="1"/>
      <x:c r="B29" s="1"/>
      <x:c r="C29" s="1" t="str">
        <x:v>Interest</x:v>
      </x:c>
      <x:c r="D29" s="1"/>
      <x:c r="E29" s="12" t="n">
        <x:f>0</x:f>
        <x:v>0</x:v>
      </x:c>
      <x:c r="F29" s="16" t="n">
        <x:f>F27*Assumptions!$H$28</x:f>
        <x:v>1470000.0000000002</x:v>
      </x:c>
      <x:c r="G29" s="16" t="n">
        <x:f>G27*Assumptions!$H$28</x:f>
        <x:v>1470000.0000000002</x:v>
      </x:c>
      <x:c r="H29" s="16" t="n">
        <x:f>H27*Assumptions!$H$28</x:f>
        <x:v>1470000.0000000002</x:v>
      </x:c>
      <x:c r="I29" s="16" t="n">
        <x:f>I27*Assumptions!$H$28</x:f>
        <x:v>1306666.666666667</x:v>
      </x:c>
      <x:c r="J29" s="16" t="n">
        <x:f>J27*Assumptions!$H$28</x:f>
        <x:v>1143333.3333333335</x:v>
      </x:c>
      <x:c r="K29" s="16" t="n">
        <x:f>K27*Assumptions!$H$28</x:f>
        <x:v>980000.0000000001</x:v>
      </x:c>
      <x:c r="L29" s="16" t="n">
        <x:f>L27*Assumptions!$H$28</x:f>
        <x:v>816666.6666666667</x:v>
      </x:c>
      <x:c r="M29" s="16" t="n">
        <x:f>M27*Assumptions!$H$28</x:f>
        <x:v>653333.3333333333</x:v>
      </x:c>
      <x:c r="N29" s="16" t="n">
        <x:f>N27*Assumptions!$H$28</x:f>
        <x:v>489999.99999999994</x:v>
      </x:c>
      <x:c r="O29" s="16" t="n">
        <x:f>O27*Assumptions!$H$28</x:f>
        <x:v>326666.6666666665</x:v>
      </x:c>
      <x:c r="P29" s="16" t="n">
        <x:f>P27*Assumptions!$H$28</x:f>
        <x:v>163333.33333333317</x:v>
      </x:c>
      <x:c r="Q29" s="16" t="n">
        <x:f>Q27*Assumptions!$H$28</x:f>
        <x:v>0</x:v>
      </x:c>
      <x:c r="R29" s="16" t="n">
        <x:f>R27*Assumptions!$H$28</x:f>
        <x:v>0</x:v>
      </x:c>
      <x:c r="S29" s="16" t="n">
        <x:f>S27*Assumptions!$H$28</x:f>
        <x:v>0</x:v>
      </x:c>
      <x:c r="T29" s="16" t="n">
        <x:f>T27*Assumptions!$H$28</x:f>
        <x:v>0</x:v>
      </x:c>
      <x:c r="U29" s="16" t="n">
        <x:f>U27*Assumptions!$H$28</x:f>
        <x:v>0</x:v>
      </x:c>
      <x:c r="V29" s="16" t="n">
        <x:f>V27*Assumptions!$H$28</x:f>
        <x:v>0</x:v>
      </x:c>
      <x:c r="W29" s="16" t="n">
        <x:f>W27*Assumptions!$H$28</x:f>
        <x:v>0</x:v>
      </x:c>
      <x:c r="X29" s="16" t="n">
        <x:f>X27*Assumptions!$H$28</x:f>
        <x:v>0</x:v>
      </x:c>
      <x:c r="Y29" s="16" t="n">
        <x:f>Y27*Assumptions!$H$28</x:f>
        <x:v>0</x:v>
      </x:c>
      <x:c r="Z29" s="16" t="n">
        <x:f>Z27*Assumptions!$H$28</x:f>
        <x:v>0</x:v>
      </x:c>
      <x:c r="AA29" s="16" t="n">
        <x:f>AA27*Assumptions!$H$28</x:f>
        <x:v>0</x:v>
      </x:c>
      <x:c r="AB29" s="16" t="n">
        <x:f>AB27*Assumptions!$H$28</x:f>
        <x:v>0</x:v>
      </x:c>
      <x:c r="AC29" s="16" t="n">
        <x:f>AC27*Assumptions!$H$28</x:f>
        <x:v>0</x:v>
      </x:c>
      <x:c r="AD29" s="16" t="n">
        <x:f>AD27*Assumptions!$H$28</x:f>
        <x:v>0</x:v>
      </x:c>
      <x:c r="AE29" s="16" t="n">
        <x:f>AE27*Assumptions!$H$28</x:f>
        <x:v>0</x:v>
      </x:c>
      <x:c r="AF29" s="16" t="n">
        <x:f>AF27*Assumptions!$H$28</x:f>
        <x:v>0</x:v>
      </x:c>
      <x:c r="AG29" s="16" t="n">
        <x:f>AG27*Assumptions!$H$28</x:f>
        <x:v>0</x:v>
      </x:c>
      <x:c r="AH29" s="16" t="n">
        <x:f>AH27*Assumptions!$H$28</x:f>
        <x:v>0</x:v>
      </x:c>
      <x:c r="AI29" s="16" t="n">
        <x:f>AI27*Assumptions!$H$28</x:f>
        <x:v>0</x:v>
      </x:c>
      <x:c r="AJ29" s="16" t="n">
        <x:f>AJ27*Assumptions!$H$28</x:f>
        <x:v>0</x:v>
      </x:c>
      <x:c r="AK29" s="16" t="n">
        <x:f>AK27*Assumptions!$H$28</x:f>
        <x:v>0</x:v>
      </x:c>
      <x:c r="AL29" s="16" t="n">
        <x:f>AL27*Assumptions!$H$28</x:f>
        <x:v>0</x:v>
      </x:c>
      <x:c r="AM29" s="16" t="n">
        <x:f>AM27*Assumptions!$H$28</x:f>
        <x:v>0</x:v>
      </x:c>
      <x:c r="AN29" s="16" t="n">
        <x:f>AN27*Assumptions!$H$28</x:f>
        <x:v>0</x:v>
      </x:c>
      <x:c r="AO29" s="1"/>
    </x:row>
    <x:row r="30" ht="23" customHeight="1">
      <x:c r="A30" s="1"/>
      <x:c r="B30" s="1"/>
      <x:c r="C30" s="1" t="str">
        <x:v>Principal repayment</x:v>
      </x:c>
      <x:c r="D30" s="1"/>
      <x:c r="E30" s="12" t="n">
        <x:f>0</x:f>
        <x:v>0</x:v>
      </x:c>
      <x:c r="F30" s="16" t="n">
        <x:f>IF(AND(F10=1,F9&gt;Assumptions!$H$36,F9&lt;=Assumptions!$H$35),IF(F9=Assumptions!$H$35,F27,MIN(F27,MAX(0,CHOOSE(Assumptions!$E$47,$E$60/(Assumptions!$H$35-Assumptions!$H$36),$E$69-F29,0)))),0)</x:f>
        <x:v>0</x:v>
      </x:c>
      <x:c r="G30" s="16" t="n">
        <x:f>IF(AND(G10=1,G9&gt;Assumptions!$H$36,G9&lt;=Assumptions!$H$35),IF(G9=Assumptions!$H$35,G27,MIN(G27,MAX(0,CHOOSE(Assumptions!$E$47,$E$60/(Assumptions!$H$35-Assumptions!$H$36),$E$69-G29,0)))),0)</x:f>
        <x:v>0</x:v>
      </x:c>
      <x:c r="H30" s="16" t="n">
        <x:f>IF(AND(H10=1,H9&gt;Assumptions!$H$36,H9&lt;=Assumptions!$H$35),IF(H9=Assumptions!$H$35,H27,MIN(H27,MAX(0,CHOOSE(Assumptions!$E$47,$E$60/(Assumptions!$H$35-Assumptions!$H$36),$E$69-H29,0)))),0)</x:f>
        <x:v>2333333.3333333335</x:v>
      </x:c>
      <x:c r="I30" s="16" t="n">
        <x:f>IF(AND(I10=1,I9&gt;Assumptions!$H$36,I9&lt;=Assumptions!$H$35),IF(I9=Assumptions!$H$35,I27,MIN(I27,MAX(0,CHOOSE(Assumptions!$E$47,$E$60/(Assumptions!$H$35-Assumptions!$H$36),$E$69-I29,0)))),0)</x:f>
        <x:v>2333333.3333333335</x:v>
      </x:c>
      <x:c r="J30" s="16" t="n">
        <x:f>IF(AND(J10=1,J9&gt;Assumptions!$H$36,J9&lt;=Assumptions!$H$35),IF(J9=Assumptions!$H$35,J27,MIN(J27,MAX(0,CHOOSE(Assumptions!$E$47,$E$60/(Assumptions!$H$35-Assumptions!$H$36),$E$69-J29,0)))),0)</x:f>
        <x:v>2333333.3333333335</x:v>
      </x:c>
      <x:c r="K30" s="16" t="n">
        <x:f>IF(AND(K10=1,K9&gt;Assumptions!$H$36,K9&lt;=Assumptions!$H$35),IF(K9=Assumptions!$H$35,K27,MIN(K27,MAX(0,CHOOSE(Assumptions!$E$47,$E$60/(Assumptions!$H$35-Assumptions!$H$36),$E$69-K29,0)))),0)</x:f>
        <x:v>2333333.3333333335</x:v>
      </x:c>
      <x:c r="L30" s="16" t="n">
        <x:f>IF(AND(L10=1,L9&gt;Assumptions!$H$36,L9&lt;=Assumptions!$H$35),IF(L9=Assumptions!$H$35,L27,MIN(L27,MAX(0,CHOOSE(Assumptions!$E$47,$E$60/(Assumptions!$H$35-Assumptions!$H$36),$E$69-L29,0)))),0)</x:f>
        <x:v>2333333.3333333335</x:v>
      </x:c>
      <x:c r="M30" s="16" t="n">
        <x:f>IF(AND(M10=1,M9&gt;Assumptions!$H$36,M9&lt;=Assumptions!$H$35),IF(M9=Assumptions!$H$35,M27,MIN(M27,MAX(0,CHOOSE(Assumptions!$E$47,$E$60/(Assumptions!$H$35-Assumptions!$H$36),$E$69-M29,0)))),0)</x:f>
        <x:v>2333333.3333333335</x:v>
      </x:c>
      <x:c r="N30" s="16" t="n">
        <x:f>IF(AND(N10=1,N9&gt;Assumptions!$H$36,N9&lt;=Assumptions!$H$35),IF(N9=Assumptions!$H$35,N27,MIN(N27,MAX(0,CHOOSE(Assumptions!$E$47,$E$60/(Assumptions!$H$35-Assumptions!$H$36),$E$69-N29,0)))),0)</x:f>
        <x:v>2333333.3333333335</x:v>
      </x:c>
      <x:c r="O30" s="16" t="n">
        <x:f>IF(AND(O10=1,O9&gt;Assumptions!$H$36,O9&lt;=Assumptions!$H$35),IF(O9=Assumptions!$H$35,O27,MIN(O27,MAX(0,CHOOSE(Assumptions!$E$47,$E$60/(Assumptions!$H$35-Assumptions!$H$36),$E$69-O29,0)))),0)</x:f>
        <x:v>2333333.3333333335</x:v>
      </x:c>
      <x:c r="P30" s="16" t="n">
        <x:f>IF(AND(P10=1,P9&gt;Assumptions!$H$36,P9&lt;=Assumptions!$H$35),IF(P9=Assumptions!$H$35,P27,MIN(P27,MAX(0,CHOOSE(Assumptions!$E$47,$E$60/(Assumptions!$H$35-Assumptions!$H$36),$E$69-P29,0)))),0)</x:f>
        <x:v>2333333.3333333307</x:v>
      </x:c>
      <x:c r="Q30" s="16" t="n">
        <x:f>IF(AND(Q10=1,Q9&gt;Assumptions!$H$36,Q9&lt;=Assumptions!$H$35),IF(Q9=Assumptions!$H$35,Q27,MIN(Q27,MAX(0,CHOOSE(Assumptions!$E$47,$E$60/(Assumptions!$H$35-Assumptions!$H$36),$E$69-Q29,0)))),0)</x:f>
        <x:v>0</x:v>
      </x:c>
      <x:c r="R30" s="16" t="n">
        <x:f>IF(AND(R10=1,R9&gt;Assumptions!$H$36,R9&lt;=Assumptions!$H$35),IF(R9=Assumptions!$H$35,R27,MIN(R27,MAX(0,CHOOSE(Assumptions!$E$47,$E$60/(Assumptions!$H$35-Assumptions!$H$36),$E$69-R29,0)))),0)</x:f>
        <x:v>0</x:v>
      </x:c>
      <x:c r="S30" s="16" t="n">
        <x:f>IF(AND(S10=1,S9&gt;Assumptions!$H$36,S9&lt;=Assumptions!$H$35),IF(S9=Assumptions!$H$35,S27,MIN(S27,MAX(0,CHOOSE(Assumptions!$E$47,$E$60/(Assumptions!$H$35-Assumptions!$H$36),$E$69-S29,0)))),0)</x:f>
        <x:v>0</x:v>
      </x:c>
      <x:c r="T30" s="16" t="n">
        <x:f>IF(AND(T10=1,T9&gt;Assumptions!$H$36,T9&lt;=Assumptions!$H$35),IF(T9=Assumptions!$H$35,T27,MIN(T27,MAX(0,CHOOSE(Assumptions!$E$47,$E$60/(Assumptions!$H$35-Assumptions!$H$36),$E$69-T29,0)))),0)</x:f>
        <x:v>0</x:v>
      </x:c>
      <x:c r="U30" s="16" t="n">
        <x:f>IF(AND(U10=1,U9&gt;Assumptions!$H$36,U9&lt;=Assumptions!$H$35),IF(U9=Assumptions!$H$35,U27,MIN(U27,MAX(0,CHOOSE(Assumptions!$E$47,$E$60/(Assumptions!$H$35-Assumptions!$H$36),$E$69-U29,0)))),0)</x:f>
        <x:v>0</x:v>
      </x:c>
      <x:c r="V30" s="16" t="n">
        <x:f>IF(AND(V10=1,V9&gt;Assumptions!$H$36,V9&lt;=Assumptions!$H$35),IF(V9=Assumptions!$H$35,V27,MIN(V27,MAX(0,CHOOSE(Assumptions!$E$47,$E$60/(Assumptions!$H$35-Assumptions!$H$36),$E$69-V29,0)))),0)</x:f>
        <x:v>0</x:v>
      </x:c>
      <x:c r="W30" s="16" t="n">
        <x:f>IF(AND(W10=1,W9&gt;Assumptions!$H$36,W9&lt;=Assumptions!$H$35),IF(W9=Assumptions!$H$35,W27,MIN(W27,MAX(0,CHOOSE(Assumptions!$E$47,$E$60/(Assumptions!$H$35-Assumptions!$H$36),$E$69-W29,0)))),0)</x:f>
        <x:v>0</x:v>
      </x:c>
      <x:c r="X30" s="16" t="n">
        <x:f>IF(AND(X10=1,X9&gt;Assumptions!$H$36,X9&lt;=Assumptions!$H$35),IF(X9=Assumptions!$H$35,X27,MIN(X27,MAX(0,CHOOSE(Assumptions!$E$47,$E$60/(Assumptions!$H$35-Assumptions!$H$36),$E$69-X29,0)))),0)</x:f>
        <x:v>0</x:v>
      </x:c>
      <x:c r="Y30" s="16" t="n">
        <x:f>IF(AND(Y10=1,Y9&gt;Assumptions!$H$36,Y9&lt;=Assumptions!$H$35),IF(Y9=Assumptions!$H$35,Y27,MIN(Y27,MAX(0,CHOOSE(Assumptions!$E$47,$E$60/(Assumptions!$H$35-Assumptions!$H$36),$E$69-Y29,0)))),0)</x:f>
        <x:v>0</x:v>
      </x:c>
      <x:c r="Z30" s="16" t="n">
        <x:f>IF(AND(Z10=1,Z9&gt;Assumptions!$H$36,Z9&lt;=Assumptions!$H$35),IF(Z9=Assumptions!$H$35,Z27,MIN(Z27,MAX(0,CHOOSE(Assumptions!$E$47,$E$60/(Assumptions!$H$35-Assumptions!$H$36),$E$69-Z29,0)))),0)</x:f>
        <x:v>0</x:v>
      </x:c>
      <x:c r="AA30" s="16" t="n">
        <x:f>IF(AND(AA10=1,AA9&gt;Assumptions!$H$36,AA9&lt;=Assumptions!$H$35),IF(AA9=Assumptions!$H$35,AA27,MIN(AA27,MAX(0,CHOOSE(Assumptions!$E$47,$E$60/(Assumptions!$H$35-Assumptions!$H$36),$E$69-AA29,0)))),0)</x:f>
        <x:v>0</x:v>
      </x:c>
      <x:c r="AB30" s="16" t="n">
        <x:f>IF(AND(AB10=1,AB9&gt;Assumptions!$H$36,AB9&lt;=Assumptions!$H$35),IF(AB9=Assumptions!$H$35,AB27,MIN(AB27,MAX(0,CHOOSE(Assumptions!$E$47,$E$60/(Assumptions!$H$35-Assumptions!$H$36),$E$69-AB29,0)))),0)</x:f>
        <x:v>0</x:v>
      </x:c>
      <x:c r="AC30" s="16" t="n">
        <x:f>IF(AND(AC10=1,AC9&gt;Assumptions!$H$36,AC9&lt;=Assumptions!$H$35),IF(AC9=Assumptions!$H$35,AC27,MIN(AC27,MAX(0,CHOOSE(Assumptions!$E$47,$E$60/(Assumptions!$H$35-Assumptions!$H$36),$E$69-AC29,0)))),0)</x:f>
        <x:v>0</x:v>
      </x:c>
      <x:c r="AD30" s="16" t="n">
        <x:f>IF(AND(AD10=1,AD9&gt;Assumptions!$H$36,AD9&lt;=Assumptions!$H$35),IF(AD9=Assumptions!$H$35,AD27,MIN(AD27,MAX(0,CHOOSE(Assumptions!$E$47,$E$60/(Assumptions!$H$35-Assumptions!$H$36),$E$69-AD29,0)))),0)</x:f>
        <x:v>0</x:v>
      </x:c>
      <x:c r="AE30" s="16" t="n">
        <x:f>IF(AND(AE10=1,AE9&gt;Assumptions!$H$36,AE9&lt;=Assumptions!$H$35),IF(AE9=Assumptions!$H$35,AE27,MIN(AE27,MAX(0,CHOOSE(Assumptions!$E$47,$E$60/(Assumptions!$H$35-Assumptions!$H$36),$E$69-AE29,0)))),0)</x:f>
        <x:v>0</x:v>
      </x:c>
      <x:c r="AF30" s="16" t="n">
        <x:f>IF(AND(AF10=1,AF9&gt;Assumptions!$H$36,AF9&lt;=Assumptions!$H$35),IF(AF9=Assumptions!$H$35,AF27,MIN(AF27,MAX(0,CHOOSE(Assumptions!$E$47,$E$60/(Assumptions!$H$35-Assumptions!$H$36),$E$69-AF29,0)))),0)</x:f>
        <x:v>0</x:v>
      </x:c>
      <x:c r="AG30" s="16" t="n">
        <x:f>IF(AND(AG10=1,AG9&gt;Assumptions!$H$36,AG9&lt;=Assumptions!$H$35),IF(AG9=Assumptions!$H$35,AG27,MIN(AG27,MAX(0,CHOOSE(Assumptions!$E$47,$E$60/(Assumptions!$H$35-Assumptions!$H$36),$E$69-AG29,0)))),0)</x:f>
        <x:v>0</x:v>
      </x:c>
      <x:c r="AH30" s="16" t="n">
        <x:f>IF(AND(AH10=1,AH9&gt;Assumptions!$H$36,AH9&lt;=Assumptions!$H$35),IF(AH9=Assumptions!$H$35,AH27,MIN(AH27,MAX(0,CHOOSE(Assumptions!$E$47,$E$60/(Assumptions!$H$35-Assumptions!$H$36),$E$69-AH29,0)))),0)</x:f>
        <x:v>0</x:v>
      </x:c>
      <x:c r="AI30" s="16" t="n">
        <x:f>IF(AND(AI10=1,AI9&gt;Assumptions!$H$36,AI9&lt;=Assumptions!$H$35),IF(AI9=Assumptions!$H$35,AI27,MIN(AI27,MAX(0,CHOOSE(Assumptions!$E$47,$E$60/(Assumptions!$H$35-Assumptions!$H$36),$E$69-AI29,0)))),0)</x:f>
        <x:v>0</x:v>
      </x:c>
      <x:c r="AJ30" s="16" t="n">
        <x:f>IF(AND(AJ10=1,AJ9&gt;Assumptions!$H$36,AJ9&lt;=Assumptions!$H$35),IF(AJ9=Assumptions!$H$35,AJ27,MIN(AJ27,MAX(0,CHOOSE(Assumptions!$E$47,$E$60/(Assumptions!$H$35-Assumptions!$H$36),$E$69-AJ29,0)))),0)</x:f>
        <x:v>0</x:v>
      </x:c>
      <x:c r="AK30" s="16" t="n">
        <x:f>IF(AND(AK10=1,AK9&gt;Assumptions!$H$36,AK9&lt;=Assumptions!$H$35),IF(AK9=Assumptions!$H$35,AK27,MIN(AK27,MAX(0,CHOOSE(Assumptions!$E$47,$E$60/(Assumptions!$H$35-Assumptions!$H$36),$E$69-AK29,0)))),0)</x:f>
        <x:v>0</x:v>
      </x:c>
      <x:c r="AL30" s="16" t="n">
        <x:f>IF(AND(AL10=1,AL9&gt;Assumptions!$H$36,AL9&lt;=Assumptions!$H$35),IF(AL9=Assumptions!$H$35,AL27,MIN(AL27,MAX(0,CHOOSE(Assumptions!$E$47,$E$60/(Assumptions!$H$35-Assumptions!$H$36),$E$69-AL29,0)))),0)</x:f>
        <x:v>0</x:v>
      </x:c>
      <x:c r="AM30" s="16" t="n">
        <x:f>IF(AND(AM10=1,AM9&gt;Assumptions!$H$36,AM9&lt;=Assumptions!$H$35),IF(AM9=Assumptions!$H$35,AM27,MIN(AM27,MAX(0,CHOOSE(Assumptions!$E$47,$E$60/(Assumptions!$H$35-Assumptions!$H$36),$E$69-AM29,0)))),0)</x:f>
        <x:v>0</x:v>
      </x:c>
      <x:c r="AN30" s="16" t="n">
        <x:f>IF(AND(AN10=1,AN9&gt;Assumptions!$H$36,AN9&lt;=Assumptions!$H$35),IF(AN9=Assumptions!$H$35,AN27,MIN(AN27,MAX(0,CHOOSE(Assumptions!$E$47,$E$60/(Assumptions!$H$35-Assumptions!$H$36),$E$69-AN29,0)))),0)</x:f>
        <x:v>0</x:v>
      </x:c>
      <x:c r="AO30" s="1"/>
    </x:row>
    <x:row r="31" ht="23" customHeight="1">
      <x:c r="A31" s="1"/>
      <x:c r="B31" s="1"/>
      <x:c r="C31" s="1" t="str">
        <x:v>Debt service</x:v>
      </x:c>
      <x:c r="D31" s="1"/>
      <x:c r="E31" s="12" t="n">
        <x:f>0</x:f>
        <x:v>0</x:v>
      </x:c>
      <x:c r="F31" s="12" t="n">
        <x:f>F29+F30</x:f>
        <x:v>1470000.0000000002</x:v>
      </x:c>
      <x:c r="G31" s="12" t="n">
        <x:f>G29+G30</x:f>
        <x:v>1470000.0000000002</x:v>
      </x:c>
      <x:c r="H31" s="12" t="n">
        <x:f>H29+H30</x:f>
        <x:v>3803333.333333334</x:v>
      </x:c>
      <x:c r="I31" s="12" t="n">
        <x:f>I29+I30</x:f>
        <x:v>3640000.0000000005</x:v>
      </x:c>
      <x:c r="J31" s="12" t="n">
        <x:f>J29+J30</x:f>
        <x:v>3476666.666666667</x:v>
      </x:c>
      <x:c r="K31" s="12" t="n">
        <x:f>K29+K30</x:f>
        <x:v>3313333.3333333335</x:v>
      </x:c>
      <x:c r="L31" s="12" t="n">
        <x:f>L29+L30</x:f>
        <x:v>3150000</x:v>
      </x:c>
      <x:c r="M31" s="12" t="n">
        <x:f>M29+M30</x:f>
        <x:v>2986666.666666667</x:v>
      </x:c>
      <x:c r="N31" s="12" t="n">
        <x:f>N29+N30</x:f>
        <x:v>2823333.3333333335</x:v>
      </x:c>
      <x:c r="O31" s="12" t="n">
        <x:f>O29+O30</x:f>
        <x:v>2660000</x:v>
      </x:c>
      <x:c r="P31" s="12" t="n">
        <x:f>P29+P30</x:f>
        <x:v>2496666.6666666637</x:v>
      </x:c>
      <x:c r="Q31" s="12" t="n">
        <x:f>Q29+Q30</x:f>
        <x:v>0</x:v>
      </x:c>
      <x:c r="R31" s="12" t="n">
        <x:f>R29+R30</x:f>
        <x:v>0</x:v>
      </x:c>
      <x:c r="S31" s="12" t="n">
        <x:f>S29+S30</x:f>
        <x:v>0</x:v>
      </x:c>
      <x:c r="T31" s="12" t="n">
        <x:f>T29+T30</x:f>
        <x:v>0</x:v>
      </x:c>
      <x:c r="U31" s="12" t="n">
        <x:f>U29+U30</x:f>
        <x:v>0</x:v>
      </x:c>
      <x:c r="V31" s="12" t="n">
        <x:f>V29+V30</x:f>
        <x:v>0</x:v>
      </x:c>
      <x:c r="W31" s="12" t="n">
        <x:f>W29+W30</x:f>
        <x:v>0</x:v>
      </x:c>
      <x:c r="X31" s="12" t="n">
        <x:f>X29+X30</x:f>
        <x:v>0</x:v>
      </x:c>
      <x:c r="Y31" s="12" t="n">
        <x:f>Y29+Y30</x:f>
        <x:v>0</x:v>
      </x:c>
      <x:c r="Z31" s="12" t="n">
        <x:f>Z29+Z30</x:f>
        <x:v>0</x:v>
      </x:c>
      <x:c r="AA31" s="12" t="n">
        <x:f>AA29+AA30</x:f>
        <x:v>0</x:v>
      </x:c>
      <x:c r="AB31" s="12" t="n">
        <x:f>AB29+AB30</x:f>
        <x:v>0</x:v>
      </x:c>
      <x:c r="AC31" s="12" t="n">
        <x:f>AC29+AC30</x:f>
        <x:v>0</x:v>
      </x:c>
      <x:c r="AD31" s="12" t="n">
        <x:f>AD29+AD30</x:f>
        <x:v>0</x:v>
      </x:c>
      <x:c r="AE31" s="12" t="n">
        <x:f>AE29+AE30</x:f>
        <x:v>0</x:v>
      </x:c>
      <x:c r="AF31" s="12" t="n">
        <x:f>AF29+AF30</x:f>
        <x:v>0</x:v>
      </x:c>
      <x:c r="AG31" s="12" t="n">
        <x:f>AG29+AG30</x:f>
        <x:v>0</x:v>
      </x:c>
      <x:c r="AH31" s="12" t="n">
        <x:f>AH29+AH30</x:f>
        <x:v>0</x:v>
      </x:c>
      <x:c r="AI31" s="12" t="n">
        <x:f>AI29+AI30</x:f>
        <x:v>0</x:v>
      </x:c>
      <x:c r="AJ31" s="12" t="n">
        <x:f>AJ29+AJ30</x:f>
        <x:v>0</x:v>
      </x:c>
      <x:c r="AK31" s="12" t="n">
        <x:f>AK29+AK30</x:f>
        <x:v>0</x:v>
      </x:c>
      <x:c r="AL31" s="12" t="n">
        <x:f>AL29+AL30</x:f>
        <x:v>0</x:v>
      </x:c>
      <x:c r="AM31" s="12" t="n">
        <x:f>AM29+AM30</x:f>
        <x:v>0</x:v>
      </x:c>
      <x:c r="AN31" s="12" t="n">
        <x:f>AN29+AN30</x:f>
        <x:v>0</x:v>
      </x:c>
      <x:c r="AO31" s="1"/>
    </x:row>
    <x:row r="32" ht="23" customHeight="1">
      <x:c r="A32" s="1"/>
      <x:c r="B32" s="1"/>
      <x:c r="C32" s="1" t="str">
        <x:v>Closing debt</x:v>
      </x:c>
      <x:c r="D32" s="1"/>
      <x:c r="E32" s="12" t="n">
        <x:f>$E$67</x:f>
        <x:v>21000000</x:v>
      </x:c>
      <x:c r="F32" s="12" t="n">
        <x:f>F27+F28-F30</x:f>
        <x:v>21000000</x:v>
      </x:c>
      <x:c r="G32" s="12" t="n">
        <x:f>G27+G28-G30</x:f>
        <x:v>21000000</x:v>
      </x:c>
      <x:c r="H32" s="12" t="n">
        <x:f>H27+H28-H30</x:f>
        <x:v>18666666.666666668</x:v>
      </x:c>
      <x:c r="I32" s="12" t="n">
        <x:f>I27+I28-I30</x:f>
        <x:v>16333333.333333334</x:v>
      </x:c>
      <x:c r="J32" s="12" t="n">
        <x:f>J27+J28-J30</x:f>
        <x:v>14000000</x:v>
      </x:c>
      <x:c r="K32" s="12" t="n">
        <x:f>K27+K28-K30</x:f>
        <x:v>11666666.666666666</x:v>
      </x:c>
      <x:c r="L32" s="12" t="n">
        <x:f>L27+L28-L30</x:f>
        <x:v>9333333.333333332</x:v>
      </x:c>
      <x:c r="M32" s="12" t="n">
        <x:f>M27+M28-M30</x:f>
        <x:v>6999999.999999998</x:v>
      </x:c>
      <x:c r="N32" s="12" t="n">
        <x:f>N27+N28-N30</x:f>
        <x:v>4666666.666666664</x:v>
      </x:c>
      <x:c r="O32" s="12" t="n">
        <x:f>O27+O28-O30</x:f>
        <x:v>2333333.3333333307</x:v>
      </x:c>
      <x:c r="P32" s="12" t="n">
        <x:f>P27+P28-P30</x:f>
        <x:v>0</x:v>
      </x:c>
      <x:c r="Q32" s="12" t="n">
        <x:f>Q27+Q28-Q30</x:f>
        <x:v>0</x:v>
      </x:c>
      <x:c r="R32" s="12" t="n">
        <x:f>R27+R28-R30</x:f>
        <x:v>0</x:v>
      </x:c>
      <x:c r="S32" s="12" t="n">
        <x:f>S27+S28-S30</x:f>
        <x:v>0</x:v>
      </x:c>
      <x:c r="T32" s="12" t="n">
        <x:f>T27+T28-T30</x:f>
        <x:v>0</x:v>
      </x:c>
      <x:c r="U32" s="12" t="n">
        <x:f>U27+U28-U30</x:f>
        <x:v>0</x:v>
      </x:c>
      <x:c r="V32" s="12" t="n">
        <x:f>V27+V28-V30</x:f>
        <x:v>0</x:v>
      </x:c>
      <x:c r="W32" s="12" t="n">
        <x:f>W27+W28-W30</x:f>
        <x:v>0</x:v>
      </x:c>
      <x:c r="X32" s="12" t="n">
        <x:f>X27+X28-X30</x:f>
        <x:v>0</x:v>
      </x:c>
      <x:c r="Y32" s="12" t="n">
        <x:f>Y27+Y28-Y30</x:f>
        <x:v>0</x:v>
      </x:c>
      <x:c r="Z32" s="12" t="n">
        <x:f>Z27+Z28-Z30</x:f>
        <x:v>0</x:v>
      </x:c>
      <x:c r="AA32" s="12" t="n">
        <x:f>AA27+AA28-AA30</x:f>
        <x:v>0</x:v>
      </x:c>
      <x:c r="AB32" s="12" t="n">
        <x:f>AB27+AB28-AB30</x:f>
        <x:v>0</x:v>
      </x:c>
      <x:c r="AC32" s="12" t="n">
        <x:f>AC27+AC28-AC30</x:f>
        <x:v>0</x:v>
      </x:c>
      <x:c r="AD32" s="12" t="n">
        <x:f>AD27+AD28-AD30</x:f>
        <x:v>0</x:v>
      </x:c>
      <x:c r="AE32" s="12" t="n">
        <x:f>AE27+AE28-AE30</x:f>
        <x:v>0</x:v>
      </x:c>
      <x:c r="AF32" s="12" t="n">
        <x:f>AF27+AF28-AF30</x:f>
        <x:v>0</x:v>
      </x:c>
      <x:c r="AG32" s="12" t="n">
        <x:f>AG27+AG28-AG30</x:f>
        <x:v>0</x:v>
      </x:c>
      <x:c r="AH32" s="12" t="n">
        <x:f>AH27+AH28-AH30</x:f>
        <x:v>0</x:v>
      </x:c>
      <x:c r="AI32" s="12" t="n">
        <x:f>AI27+AI28-AI30</x:f>
        <x:v>0</x:v>
      </x:c>
      <x:c r="AJ32" s="12" t="n">
        <x:f>AJ27+AJ28-AJ30</x:f>
        <x:v>0</x:v>
      </x:c>
      <x:c r="AK32" s="12" t="n">
        <x:f>AK27+AK28-AK30</x:f>
        <x:v>0</x:v>
      </x:c>
      <x:c r="AL32" s="12" t="n">
        <x:f>AL27+AL28-AL30</x:f>
        <x:v>0</x:v>
      </x:c>
      <x:c r="AM32" s="12" t="n">
        <x:f>AM27+AM28-AM30</x:f>
        <x:v>0</x:v>
      </x:c>
      <x:c r="AN32" s="12" t="n">
        <x:f>AN27+AN28-AN30</x:f>
        <x:v>0</x:v>
      </x:c>
      <x:c r="AO32" s="1"/>
    </x:row>
    <x:row r="33" ht="23" customHeight="1">
      <x:c r="A33" s="1"/>
      <x:c r="B33" s="1"/>
      <x:c r="C33" s="1"/>
      <x:c r="D33" s="1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  <x:c r="X33" s="12"/>
      <x:c r="Y33" s="12"/>
      <x:c r="Z33" s="12"/>
      <x:c r="AA33" s="12"/>
      <x:c r="AB33" s="12"/>
      <x:c r="AC33" s="12"/>
      <x:c r="AD33" s="12"/>
      <x:c r="AE33" s="12"/>
      <x:c r="AF33" s="12"/>
      <x:c r="AG33" s="12"/>
      <x:c r="AH33" s="12"/>
      <x:c r="AI33" s="12"/>
      <x:c r="AJ33" s="12"/>
      <x:c r="AK33" s="12"/>
      <x:c r="AL33" s="12"/>
      <x:c r="AM33" s="12"/>
      <x:c r="AN33" s="12"/>
      <x:c r="AO33" s="1"/>
    </x:row>
    <x:row r="34" ht="23" customHeight="1">
      <x:c r="A34" s="1"/>
      <x:c r="B34" s="1"/>
      <x:c r="C34" s="1"/>
      <x:c r="D34" s="1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  <x:c r="X34" s="12"/>
      <x:c r="Y34" s="12"/>
      <x:c r="Z34" s="12"/>
      <x:c r="AA34" s="12"/>
      <x:c r="AB34" s="12"/>
      <x:c r="AC34" s="12"/>
      <x:c r="AD34" s="12"/>
      <x:c r="AE34" s="12"/>
      <x:c r="AF34" s="12"/>
      <x:c r="AG34" s="12"/>
      <x:c r="AH34" s="12"/>
      <x:c r="AI34" s="12"/>
      <x:c r="AJ34" s="12"/>
      <x:c r="AK34" s="12"/>
      <x:c r="AL34" s="12"/>
      <x:c r="AM34" s="12"/>
      <x:c r="AN34" s="12"/>
      <x:c r="AO34" s="1"/>
    </x:row>
    <x:row r="35" ht="23" customHeight="1">
      <x:c r="A35" s="1"/>
      <x:c r="B35" s="1"/>
      <x:c r="C35" s="1" t="str">
        <x:v>Levered cash taxes</x:v>
      </x:c>
      <x:c r="D35" s="1"/>
      <x:c r="E35" s="12" t="n">
        <x:f>0</x:f>
        <x:v>0</x:v>
      </x:c>
      <x:c r="F35" s="16" t="n">
        <x:f>MAX(0,F21-F25-F29)*Assumptions!$H$31</x:f>
        <x:v>0</x:v>
      </x:c>
      <x:c r="G35" s="16" t="n">
        <x:f>MAX(0,G21-G25-G29)*Assumptions!$H$31</x:f>
        <x:v>0</x:v>
      </x:c>
      <x:c r="H35" s="16" t="n">
        <x:f>MAX(0,H21-H25-H29)*Assumptions!$H$31</x:f>
        <x:v>0</x:v>
      </x:c>
      <x:c r="I35" s="16" t="n">
        <x:f>MAX(0,I21-I25-I29)*Assumptions!$H$31</x:f>
        <x:v>333403.33333333326</x:v>
      </x:c>
      <x:c r="J35" s="16" t="n">
        <x:f>MAX(0,J21-J25-J29)*Assumptions!$H$31</x:f>
        <x:v>759233.2666666672</x:v>
      </x:c>
      <x:c r="K35" s="16" t="n">
        <x:f>MAX(0,K21-K25-K29)*Assumptions!$H$31</x:f>
        <x:v>1091948.54</x:v>
      </x:c>
      <x:c r="L35" s="16" t="n">
        <x:f>MAX(0,L21-L25-L29)*Assumptions!$H$31</x:f>
        <x:v>1205846.0441333333</x:v>
      </x:c>
      <x:c r="M35" s="16" t="n">
        <x:f>MAX(0,M21-M25-M29)*Assumptions!$H$31</x:f>
        <x:v>1321204.831682667</x:v>
      </x:c>
      <x:c r="N35" s="16" t="n">
        <x:f>MAX(0,N21-N25-N29)*Assumptions!$H$31</x:f>
        <x:v>1438054.12831632</x:v>
      </x:c>
      <x:c r="O35" s="16" t="n">
        <x:f>MAX(0,O21-O25-O29)*Assumptions!$H$31</x:f>
        <x:v>1556423.7442159802</x:v>
      </x:c>
      <x:c r="P35" s="16" t="n">
        <x:f>MAX(0,P21-P25-P29)*Assumptions!$H$31</x:f>
        <x:v>1676344.0857669667</x:v>
      </x:c>
      <x:c r="Q35" s="16" t="n">
        <x:f>MAX(0,Q21-Q25-Q29)*Assumptions!$H$31</x:f>
        <x:v>1797846.1674823058</x:v>
      </x:c>
      <x:c r="R35" s="16" t="n">
        <x:f>MAX(0,R21-R25-R29)*Assumptions!$H$31</x:f>
        <x:v>1880128.2908319524</x:v>
      </x:c>
      <x:c r="S35" s="16" t="n">
        <x:f>MAX(0,S21-S25-S29)*Assumptions!$H$31</x:f>
        <x:v>1964056.0566485906</x:v>
      </x:c>
      <x:c r="T35" s="16" t="n">
        <x:f>MAX(0,T21-T25-T29)*Assumptions!$H$31</x:f>
        <x:v>2049662.3777815634</x:v>
      </x:c>
      <x:c r="U35" s="16" t="n">
        <x:f>MAX(0,U21-U25-U29)*Assumptions!$H$31</x:f>
        <x:v>2136980.825337194</x:v>
      </x:c>
      <x:c r="V35" s="16" t="n">
        <x:f>MAX(0,V21-V25-V29)*Assumptions!$H$31</x:f>
        <x:v>0</x:v>
      </x:c>
      <x:c r="W35" s="16" t="n">
        <x:f>MAX(0,W21-W25-W29)*Assumptions!$H$31</x:f>
        <x:v>0</x:v>
      </x:c>
      <x:c r="X35" s="16" t="n">
        <x:f>MAX(0,X21-X25-X29)*Assumptions!$H$31</x:f>
        <x:v>0</x:v>
      </x:c>
      <x:c r="Y35" s="16" t="n">
        <x:f>MAX(0,Y21-Y25-Y29)*Assumptions!$H$31</x:f>
        <x:v>0</x:v>
      </x:c>
      <x:c r="Z35" s="16" t="n">
        <x:f>MAX(0,Z21-Z25-Z29)*Assumptions!$H$31</x:f>
        <x:v>0</x:v>
      </x:c>
      <x:c r="AA35" s="16" t="n">
        <x:f>MAX(0,AA21-AA25-AA29)*Assumptions!$H$31</x:f>
        <x:v>0</x:v>
      </x:c>
      <x:c r="AB35" s="16" t="n">
        <x:f>MAX(0,AB21-AB25-AB29)*Assumptions!$H$31</x:f>
        <x:v>0</x:v>
      </x:c>
      <x:c r="AC35" s="16" t="n">
        <x:f>MAX(0,AC21-AC25-AC29)*Assumptions!$H$31</x:f>
        <x:v>0</x:v>
      </x:c>
      <x:c r="AD35" s="16" t="n">
        <x:f>MAX(0,AD21-AD25-AD29)*Assumptions!$H$31</x:f>
        <x:v>0</x:v>
      </x:c>
      <x:c r="AE35" s="16" t="n">
        <x:f>MAX(0,AE21-AE25-AE29)*Assumptions!$H$31</x:f>
        <x:v>0</x:v>
      </x:c>
      <x:c r="AF35" s="16" t="n">
        <x:f>MAX(0,AF21-AF25-AF29)*Assumptions!$H$31</x:f>
        <x:v>0</x:v>
      </x:c>
      <x:c r="AG35" s="16" t="n">
        <x:f>MAX(0,AG21-AG25-AG29)*Assumptions!$H$31</x:f>
        <x:v>0</x:v>
      </x:c>
      <x:c r="AH35" s="16" t="n">
        <x:f>MAX(0,AH21-AH25-AH29)*Assumptions!$H$31</x:f>
        <x:v>0</x:v>
      </x:c>
      <x:c r="AI35" s="16" t="n">
        <x:f>MAX(0,AI21-AI25-AI29)*Assumptions!$H$31</x:f>
        <x:v>0</x:v>
      </x:c>
      <x:c r="AJ35" s="16" t="n">
        <x:f>MAX(0,AJ21-AJ25-AJ29)*Assumptions!$H$31</x:f>
        <x:v>0</x:v>
      </x:c>
      <x:c r="AK35" s="16" t="n">
        <x:f>MAX(0,AK21-AK25-AK29)*Assumptions!$H$31</x:f>
        <x:v>0</x:v>
      </x:c>
      <x:c r="AL35" s="16" t="n">
        <x:f>MAX(0,AL21-AL25-AL29)*Assumptions!$H$31</x:f>
        <x:v>0</x:v>
      </x:c>
      <x:c r="AM35" s="16" t="n">
        <x:f>MAX(0,AM21-AM25-AM29)*Assumptions!$H$31</x:f>
        <x:v>0</x:v>
      </x:c>
      <x:c r="AN35" s="16" t="n">
        <x:f>MAX(0,AN21-AN25-AN29)*Assumptions!$H$31</x:f>
        <x:v>0</x:v>
      </x:c>
      <x:c r="AO35" s="1"/>
    </x:row>
    <x:row r="36" ht="23" customHeight="1">
      <x:c r="A36" s="1"/>
      <x:c r="B36" s="1"/>
      <x:c r="C36" s="1" t="str">
        <x:v>Working capital</x:v>
      </x:c>
      <x:c r="D36" s="1"/>
      <x:c r="E36" s="12" t="n">
        <x:f>0</x:f>
        <x:v>0</x:v>
      </x:c>
      <x:c r="F36" s="16" t="n">
        <x:f>F19*Assumptions!$H$32</x:f>
        <x:v>0</x:v>
      </x:c>
      <x:c r="G36" s="16" t="n">
        <x:f>G19*Assumptions!$H$32</x:f>
        <x:v>300000</x:v>
      </x:c>
      <x:c r="H36" s="16" t="n">
        <x:f>H19*Assumptions!$H$32</x:f>
        <x:v>420750</x:v>
      </x:c>
      <x:c r="I36" s="16" t="n">
        <x:f>I19*Assumptions!$H$32</x:f>
        <x:v>546210</x:v>
      </x:c>
      <x:c r="J36" s="16" t="n">
        <x:f>J19*Assumptions!$H$32</x:f>
        <x:v>652642.9200000002</x:v>
      </x:c>
      <x:c r="K36" s="16" t="n">
        <x:f>K19*Assumptions!$H$32</x:f>
        <x:v>730641.7080000001</x:v>
      </x:c>
      <x:c r="L36" s="16" t="n">
        <x:f>L19*Assumptions!$H$32</x:f>
        <x:v>745254.5421600001</x:v>
      </x:c>
      <x:c r="M36" s="16" t="n">
        <x:f>M19*Assumptions!$H$32</x:f>
        <x:v>760159.6330032</x:v>
      </x:c>
      <x:c r="N36" s="16" t="n">
        <x:f>N19*Assumptions!$H$32</x:f>
        <x:v>775362.825663264</x:v>
      </x:c>
      <x:c r="O36" s="16" t="n">
        <x:f>O19*Assumptions!$H$32</x:f>
        <x:v>790870.0821765293</x:v>
      </x:c>
      <x:c r="P36" s="16" t="n">
        <x:f>P19*Assumptions!$H$32</x:f>
        <x:v>806687.48382006</x:v>
      </x:c>
      <x:c r="Q36" s="16" t="n">
        <x:f>Q19*Assumptions!$H$32</x:f>
        <x:v>822821.2334964612</x:v>
      </x:c>
      <x:c r="R36" s="16" t="n">
        <x:f>R19*Assumptions!$H$32</x:f>
        <x:v>839277.6581663905</x:v>
      </x:c>
      <x:c r="S36" s="16" t="n">
        <x:f>S19*Assumptions!$H$32</x:f>
        <x:v>856063.2113297181</x:v>
      </x:c>
      <x:c r="T36" s="16" t="n">
        <x:f>T19*Assumptions!$H$32</x:f>
        <x:v>873184.4755563127</x:v>
      </x:c>
      <x:c r="U36" s="16" t="n">
        <x:f>U19*Assumptions!$H$32</x:f>
        <x:v>890648.1650674389</x:v>
      </x:c>
      <x:c r="V36" s="16" t="n">
        <x:f>V19*Assumptions!$H$32</x:f>
        <x:v>0</x:v>
      </x:c>
      <x:c r="W36" s="16" t="n">
        <x:f>W19*Assumptions!$H$32</x:f>
        <x:v>0</x:v>
      </x:c>
      <x:c r="X36" s="16" t="n">
        <x:f>X19*Assumptions!$H$32</x:f>
        <x:v>0</x:v>
      </x:c>
      <x:c r="Y36" s="16" t="n">
        <x:f>Y19*Assumptions!$H$32</x:f>
        <x:v>0</x:v>
      </x:c>
      <x:c r="Z36" s="16" t="n">
        <x:f>Z19*Assumptions!$H$32</x:f>
        <x:v>0</x:v>
      </x:c>
      <x:c r="AA36" s="16" t="n">
        <x:f>AA19*Assumptions!$H$32</x:f>
        <x:v>0</x:v>
      </x:c>
      <x:c r="AB36" s="16" t="n">
        <x:f>AB19*Assumptions!$H$32</x:f>
        <x:v>0</x:v>
      </x:c>
      <x:c r="AC36" s="16" t="n">
        <x:f>AC19*Assumptions!$H$32</x:f>
        <x:v>0</x:v>
      </x:c>
      <x:c r="AD36" s="16" t="n">
        <x:f>AD19*Assumptions!$H$32</x:f>
        <x:v>0</x:v>
      </x:c>
      <x:c r="AE36" s="16" t="n">
        <x:f>AE19*Assumptions!$H$32</x:f>
        <x:v>0</x:v>
      </x:c>
      <x:c r="AF36" s="16" t="n">
        <x:f>AF19*Assumptions!$H$32</x:f>
        <x:v>0</x:v>
      </x:c>
      <x:c r="AG36" s="16" t="n">
        <x:f>AG19*Assumptions!$H$32</x:f>
        <x:v>0</x:v>
      </x:c>
      <x:c r="AH36" s="16" t="n">
        <x:f>AH19*Assumptions!$H$32</x:f>
        <x:v>0</x:v>
      </x:c>
      <x:c r="AI36" s="16" t="n">
        <x:f>AI19*Assumptions!$H$32</x:f>
        <x:v>0</x:v>
      </x:c>
      <x:c r="AJ36" s="16" t="n">
        <x:f>AJ19*Assumptions!$H$32</x:f>
        <x:v>0</x:v>
      </x:c>
      <x:c r="AK36" s="16" t="n">
        <x:f>AK19*Assumptions!$H$32</x:f>
        <x:v>0</x:v>
      </x:c>
      <x:c r="AL36" s="16" t="n">
        <x:f>AL19*Assumptions!$H$32</x:f>
        <x:v>0</x:v>
      </x:c>
      <x:c r="AM36" s="16" t="n">
        <x:f>AM19*Assumptions!$H$32</x:f>
        <x:v>0</x:v>
      </x:c>
      <x:c r="AN36" s="16" t="n">
        <x:f>AN19*Assumptions!$H$32</x:f>
        <x:v>0</x:v>
      </x:c>
      <x:c r="AO36" s="1"/>
    </x:row>
    <x:row r="37" ht="23" customHeight="1">
      <x:c r="A37" s="1"/>
      <x:c r="B37" s="1"/>
      <x:c r="C37" s="1" t="str">
        <x:v>Change in working capital</x:v>
      </x:c>
      <x:c r="D37" s="1"/>
      <x:c r="E37" s="12" t="n">
        <x:f>0</x:f>
        <x:v>0</x:v>
      </x:c>
      <x:c r="F37" s="12" t="n">
        <x:f>IF(F10=1,F36-E36,0)</x:f>
        <x:v>0</x:v>
      </x:c>
      <x:c r="G37" s="12" t="n">
        <x:f>IF(G10=1,G36-F36,0)</x:f>
        <x:v>300000</x:v>
      </x:c>
      <x:c r="H37" s="12" t="n">
        <x:f>IF(H10=1,H36-G36,0)</x:f>
        <x:v>120750</x:v>
      </x:c>
      <x:c r="I37" s="12" t="n">
        <x:f>IF(I10=1,I36-H36,0)</x:f>
        <x:v>125460</x:v>
      </x:c>
      <x:c r="J37" s="12" t="n">
        <x:f>IF(J10=1,J36-I36,0)</x:f>
        <x:v>106432.92000000016</x:v>
      </x:c>
      <x:c r="K37" s="12" t="n">
        <x:f>IF(K10=1,K36-J36,0)</x:f>
        <x:v>77998.78799999994</x:v>
      </x:c>
      <x:c r="L37" s="12" t="n">
        <x:f>IF(L10=1,L36-K36,0)</x:f>
        <x:v>14612.83415999997</x:v>
      </x:c>
      <x:c r="M37" s="12" t="n">
        <x:f>IF(M10=1,M36-L36,0)</x:f>
        <x:v>14905.090843199985</x:v>
      </x:c>
      <x:c r="N37" s="12" t="n">
        <x:f>IF(N10=1,N36-M36,0)</x:f>
        <x:v>15203.19266006397</x:v>
      </x:c>
      <x:c r="O37" s="12" t="n">
        <x:f>IF(O10=1,O36-N36,0)</x:f>
        <x:v>15507.25651326531</x:v>
      </x:c>
      <x:c r="P37" s="12" t="n">
        <x:f>IF(P10=1,P36-O36,0)</x:f>
        <x:v>15817.401643530698</x:v>
      </x:c>
      <x:c r="Q37" s="12" t="n">
        <x:f>IF(Q10=1,Q36-P36,0)</x:f>
        <x:v>16133.749676401145</x:v>
      </x:c>
      <x:c r="R37" s="12" t="n">
        <x:f>IF(R10=1,R36-Q36,0)</x:f>
        <x:v>16456.424669929314</x:v>
      </x:c>
      <x:c r="S37" s="12" t="n">
        <x:f>IF(S10=1,S36-R36,0)</x:f>
        <x:v>16785.553163327626</x:v>
      </x:c>
      <x:c r="T37" s="12" t="n">
        <x:f>IF(T10=1,T36-S36,0)</x:f>
        <x:v>17121.26422659459</x:v>
      </x:c>
      <x:c r="U37" s="12" t="n">
        <x:f>IF(U10=1,U36-T36,0)</x:f>
        <x:v>17463.68951112614</x:v>
      </x:c>
      <x:c r="V37" s="12" t="n">
        <x:f>IF(V10=1,V36-U36,0)</x:f>
        <x:v>0</x:v>
      </x:c>
      <x:c r="W37" s="12" t="n">
        <x:f>IF(W10=1,W36-V36,0)</x:f>
        <x:v>0</x:v>
      </x:c>
      <x:c r="X37" s="12" t="n">
        <x:f>IF(X10=1,X36-W36,0)</x:f>
        <x:v>0</x:v>
      </x:c>
      <x:c r="Y37" s="12" t="n">
        <x:f>IF(Y10=1,Y36-X36,0)</x:f>
        <x:v>0</x:v>
      </x:c>
      <x:c r="Z37" s="12" t="n">
        <x:f>IF(Z10=1,Z36-Y36,0)</x:f>
        <x:v>0</x:v>
      </x:c>
      <x:c r="AA37" s="12" t="n">
        <x:f>IF(AA10=1,AA36-Z36,0)</x:f>
        <x:v>0</x:v>
      </x:c>
      <x:c r="AB37" s="12" t="n">
        <x:f>IF(AB10=1,AB36-AA36,0)</x:f>
        <x:v>0</x:v>
      </x:c>
      <x:c r="AC37" s="12" t="n">
        <x:f>IF(AC10=1,AC36-AB36,0)</x:f>
        <x:v>0</x:v>
      </x:c>
      <x:c r="AD37" s="12" t="n">
        <x:f>IF(AD10=1,AD36-AC36,0)</x:f>
        <x:v>0</x:v>
      </x:c>
      <x:c r="AE37" s="12" t="n">
        <x:f>IF(AE10=1,AE36-AD36,0)</x:f>
        <x:v>0</x:v>
      </x:c>
      <x:c r="AF37" s="12" t="n">
        <x:f>IF(AF10=1,AF36-AE36,0)</x:f>
        <x:v>0</x:v>
      </x:c>
      <x:c r="AG37" s="12" t="n">
        <x:f>IF(AG10=1,AG36-AF36,0)</x:f>
        <x:v>0</x:v>
      </x:c>
      <x:c r="AH37" s="12" t="n">
        <x:f>IF(AH10=1,AH36-AG36,0)</x:f>
        <x:v>0</x:v>
      </x:c>
      <x:c r="AI37" s="12" t="n">
        <x:f>IF(AI10=1,AI36-AH36,0)</x:f>
        <x:v>0</x:v>
      </x:c>
      <x:c r="AJ37" s="12" t="n">
        <x:f>IF(AJ10=1,AJ36-AI36,0)</x:f>
        <x:v>0</x:v>
      </x:c>
      <x:c r="AK37" s="12" t="n">
        <x:f>IF(AK10=1,AK36-AJ36,0)</x:f>
        <x:v>0</x:v>
      </x:c>
      <x:c r="AL37" s="12" t="n">
        <x:f>IF(AL10=1,AL36-AK36,0)</x:f>
        <x:v>0</x:v>
      </x:c>
      <x:c r="AM37" s="12" t="n">
        <x:f>IF(AM10=1,AM36-AL36,0)</x:f>
        <x:v>0</x:v>
      </x:c>
      <x:c r="AN37" s="12" t="n">
        <x:f>IF(AN10=1,AN36-AM36,0)</x:f>
        <x:v>0</x:v>
      </x:c>
      <x:c r="AO37" s="1"/>
    </x:row>
    <x:row r="38" ht="23" customHeight="1">
      <x:c r="A38" s="1"/>
      <x:c r="B38" s="1"/>
      <x:c r="C38" s="1" t="str">
        <x:v>Maintenance CapEx</x:v>
      </x:c>
      <x:c r="D38" s="1"/>
      <x:c r="E38" s="12" t="n">
        <x:f>0</x:f>
        <x:v>0</x:v>
      </x:c>
      <x:c r="F38" s="16" t="n">
        <x:f>IF(F10=1,Assumptions!$H$33,0)</x:f>
        <x:v>0</x:v>
      </x:c>
      <x:c r="G38" s="16" t="n">
        <x:f>IF(G10=1,Assumptions!$H$33,0)</x:f>
        <x:v>250000</x:v>
      </x:c>
      <x:c r="H38" s="16" t="n">
        <x:f>IF(H10=1,Assumptions!$H$33,0)</x:f>
        <x:v>250000</x:v>
      </x:c>
      <x:c r="I38" s="16" t="n">
        <x:f>IF(I10=1,Assumptions!$H$33,0)</x:f>
        <x:v>250000</x:v>
      </x:c>
      <x:c r="J38" s="16" t="n">
        <x:f>IF(J10=1,Assumptions!$H$33,0)</x:f>
        <x:v>250000</x:v>
      </x:c>
      <x:c r="K38" s="16" t="n">
        <x:f>IF(K10=1,Assumptions!$H$33,0)</x:f>
        <x:v>250000</x:v>
      </x:c>
      <x:c r="L38" s="16" t="n">
        <x:f>IF(L10=1,Assumptions!$H$33,0)</x:f>
        <x:v>250000</x:v>
      </x:c>
      <x:c r="M38" s="16" t="n">
        <x:f>IF(M10=1,Assumptions!$H$33,0)</x:f>
        <x:v>250000</x:v>
      </x:c>
      <x:c r="N38" s="16" t="n">
        <x:f>IF(N10=1,Assumptions!$H$33,0)</x:f>
        <x:v>250000</x:v>
      </x:c>
      <x:c r="O38" s="16" t="n">
        <x:f>IF(O10=1,Assumptions!$H$33,0)</x:f>
        <x:v>250000</x:v>
      </x:c>
      <x:c r="P38" s="16" t="n">
        <x:f>IF(P10=1,Assumptions!$H$33,0)</x:f>
        <x:v>250000</x:v>
      </x:c>
      <x:c r="Q38" s="16" t="n">
        <x:f>IF(Q10=1,Assumptions!$H$33,0)</x:f>
        <x:v>250000</x:v>
      </x:c>
      <x:c r="R38" s="16" t="n">
        <x:f>IF(R10=1,Assumptions!$H$33,0)</x:f>
        <x:v>250000</x:v>
      </x:c>
      <x:c r="S38" s="16" t="n">
        <x:f>IF(S10=1,Assumptions!$H$33,0)</x:f>
        <x:v>250000</x:v>
      </x:c>
      <x:c r="T38" s="16" t="n">
        <x:f>IF(T10=1,Assumptions!$H$33,0)</x:f>
        <x:v>250000</x:v>
      </x:c>
      <x:c r="U38" s="16" t="n">
        <x:f>IF(U10=1,Assumptions!$H$33,0)</x:f>
        <x:v>250000</x:v>
      </x:c>
      <x:c r="V38" s="16" t="n">
        <x:f>IF(V10=1,Assumptions!$H$33,0)</x:f>
        <x:v>0</x:v>
      </x:c>
      <x:c r="W38" s="16" t="n">
        <x:f>IF(W10=1,Assumptions!$H$33,0)</x:f>
        <x:v>0</x:v>
      </x:c>
      <x:c r="X38" s="16" t="n">
        <x:f>IF(X10=1,Assumptions!$H$33,0)</x:f>
        <x:v>0</x:v>
      </x:c>
      <x:c r="Y38" s="16" t="n">
        <x:f>IF(Y10=1,Assumptions!$H$33,0)</x:f>
        <x:v>0</x:v>
      </x:c>
      <x:c r="Z38" s="16" t="n">
        <x:f>IF(Z10=1,Assumptions!$H$33,0)</x:f>
        <x:v>0</x:v>
      </x:c>
      <x:c r="AA38" s="16" t="n">
        <x:f>IF(AA10=1,Assumptions!$H$33,0)</x:f>
        <x:v>0</x:v>
      </x:c>
      <x:c r="AB38" s="16" t="n">
        <x:f>IF(AB10=1,Assumptions!$H$33,0)</x:f>
        <x:v>0</x:v>
      </x:c>
      <x:c r="AC38" s="16" t="n">
        <x:f>IF(AC10=1,Assumptions!$H$33,0)</x:f>
        <x:v>0</x:v>
      </x:c>
      <x:c r="AD38" s="16" t="n">
        <x:f>IF(AD10=1,Assumptions!$H$33,0)</x:f>
        <x:v>0</x:v>
      </x:c>
      <x:c r="AE38" s="16" t="n">
        <x:f>IF(AE10=1,Assumptions!$H$33,0)</x:f>
        <x:v>0</x:v>
      </x:c>
      <x:c r="AF38" s="16" t="n">
        <x:f>IF(AF10=1,Assumptions!$H$33,0)</x:f>
        <x:v>0</x:v>
      </x:c>
      <x:c r="AG38" s="16" t="n">
        <x:f>IF(AG10=1,Assumptions!$H$33,0)</x:f>
        <x:v>0</x:v>
      </x:c>
      <x:c r="AH38" s="16" t="n">
        <x:f>IF(AH10=1,Assumptions!$H$33,0)</x:f>
        <x:v>0</x:v>
      </x:c>
      <x:c r="AI38" s="16" t="n">
        <x:f>IF(AI10=1,Assumptions!$H$33,0)</x:f>
        <x:v>0</x:v>
      </x:c>
      <x:c r="AJ38" s="16" t="n">
        <x:f>IF(AJ10=1,Assumptions!$H$33,0)</x:f>
        <x:v>0</x:v>
      </x:c>
      <x:c r="AK38" s="16" t="n">
        <x:f>IF(AK10=1,Assumptions!$H$33,0)</x:f>
        <x:v>0</x:v>
      </x:c>
      <x:c r="AL38" s="16" t="n">
        <x:f>IF(AL10=1,Assumptions!$H$33,0)</x:f>
        <x:v>0</x:v>
      </x:c>
      <x:c r="AM38" s="16" t="n">
        <x:f>IF(AM10=1,Assumptions!$H$33,0)</x:f>
        <x:v>0</x:v>
      </x:c>
      <x:c r="AN38" s="16" t="n">
        <x:f>IF(AN10=1,Assumptions!$H$33,0)</x:f>
        <x:v>0</x:v>
      </x:c>
      <x:c r="AO38" s="1"/>
    </x:row>
    <x:row r="39" ht="23" customHeight="1">
      <x:c r="A39" s="1"/>
      <x:c r="B39" s="1"/>
      <x:c r="C39" s="1" t="str">
        <x:v>CFADS</x:v>
      </x:c>
      <x:c r="D39" s="1"/>
      <x:c r="E39" s="12" t="n">
        <x:f>0</x:f>
        <x:v>0</x:v>
      </x:c>
      <x:c r="F39" s="12" t="n">
        <x:f>F21-F35-F37-F38</x:f>
        <x:v>0</x:v>
      </x:c>
      <x:c r="G39" s="12" t="n">
        <x:f>G21-G35-G37-G38</x:f>
        <x:v>1437760</x:v>
      </x:c>
      <x:c r="H39" s="12" t="n">
        <x:f>H21-H35-H37-H38</x:f>
        <x:v>3296170</x:v>
      </x:c>
      <x:c r="I39" s="12" t="n">
        <x:f>I21-I35-I37-I38</x:f>
        <x:v>4731416.666666667</x:v>
      </x:c>
      <x:c r="J39" s="12" t="n">
        <x:f>J21-J35-J37-J38</x:f>
        <x:v>5864600.213333335</x:v>
      </x:c>
      <x:c r="K39" s="12" t="n">
        <x:f>K21-K35-K37-K38</x:f>
        <x:v>6727846.832</x:v>
      </x:c>
      <x:c r="L39" s="12" t="n">
        <x:f>L21-L35-L37-L38</x:f>
        <x:v>6969591.964906666</x:v>
      </x:c>
      <x:c r="M39" s="12" t="n">
        <x:f>M21-M35-M37-M38</x:f>
        <x:v>7152042.737538134</x:v>
      </x:c>
      <x:c r="N39" s="12" t="n">
        <x:f>N21-N35-N37-N38</x:f>
        <x:v>7338959.192288896</x:v>
      </x:c>
      <x:c r="O39" s="12" t="n">
        <x:f>O21-O35-O37-O38</x:f>
        <x:v>7530430.642801342</x:v>
      </x:c>
      <x:c r="P39" s="12" t="n">
        <x:f>P21-P35-P37-P38</x:f>
        <x:v>7726548.188990703</x:v>
      </x:c>
      <x:c r="Q39" s="12" t="n">
        <x:f>Q21-Q35-Q37-Q38</x:f>
        <x:v>7927404.752770517</x:v>
      </x:c>
      <x:c r="R39" s="12" t="n">
        <x:f>R21-R35-R37-R38</x:f>
        <x:v>8173928.447825927</x:v>
      </x:c>
      <x:c r="S39" s="12" t="n">
        <x:f>S21-S35-S37-S38</x:f>
        <x:v>8425382.616782445</x:v>
      </x:c>
      <x:c r="T39" s="12" t="n">
        <x:f>T21-T35-T37-T38</x:f>
        <x:v>8681865.869118096</x:v>
      </x:c>
      <x:c r="U39" s="12" t="n">
        <x:f>U21-U35-U37-U38</x:f>
        <x:v>8943478.786500456</x:v>
      </x:c>
      <x:c r="V39" s="12" t="n">
        <x:f>V21-V35-V37-V38</x:f>
        <x:v>0</x:v>
      </x:c>
      <x:c r="W39" s="12" t="n">
        <x:f>W21-W35-W37-W38</x:f>
        <x:v>0</x:v>
      </x:c>
      <x:c r="X39" s="12" t="n">
        <x:f>X21-X35-X37-X38</x:f>
        <x:v>0</x:v>
      </x:c>
      <x:c r="Y39" s="12" t="n">
        <x:f>Y21-Y35-Y37-Y38</x:f>
        <x:v>0</x:v>
      </x:c>
      <x:c r="Z39" s="12" t="n">
        <x:f>Z21-Z35-Z37-Z38</x:f>
        <x:v>0</x:v>
      </x:c>
      <x:c r="AA39" s="12" t="n">
        <x:f>AA21-AA35-AA37-AA38</x:f>
        <x:v>0</x:v>
      </x:c>
      <x:c r="AB39" s="12" t="n">
        <x:f>AB21-AB35-AB37-AB38</x:f>
        <x:v>0</x:v>
      </x:c>
      <x:c r="AC39" s="12" t="n">
        <x:f>AC21-AC35-AC37-AC38</x:f>
        <x:v>0</x:v>
      </x:c>
      <x:c r="AD39" s="12" t="n">
        <x:f>AD21-AD35-AD37-AD38</x:f>
        <x:v>0</x:v>
      </x:c>
      <x:c r="AE39" s="12" t="n">
        <x:f>AE21-AE35-AE37-AE38</x:f>
        <x:v>0</x:v>
      </x:c>
      <x:c r="AF39" s="12" t="n">
        <x:f>AF21-AF35-AF37-AF38</x:f>
        <x:v>0</x:v>
      </x:c>
      <x:c r="AG39" s="12" t="n">
        <x:f>AG21-AG35-AG37-AG38</x:f>
        <x:v>0</x:v>
      </x:c>
      <x:c r="AH39" s="12" t="n">
        <x:f>AH21-AH35-AH37-AH38</x:f>
        <x:v>0</x:v>
      </x:c>
      <x:c r="AI39" s="12" t="n">
        <x:f>AI21-AI35-AI37-AI38</x:f>
        <x:v>0</x:v>
      </x:c>
      <x:c r="AJ39" s="12" t="n">
        <x:f>AJ21-AJ35-AJ37-AJ38</x:f>
        <x:v>0</x:v>
      </x:c>
      <x:c r="AK39" s="12" t="n">
        <x:f>AK21-AK35-AK37-AK38</x:f>
        <x:v>0</x:v>
      </x:c>
      <x:c r="AL39" s="12" t="n">
        <x:f>AL21-AL35-AL37-AL38</x:f>
        <x:v>0</x:v>
      </x:c>
      <x:c r="AM39" s="12" t="n">
        <x:f>AM21-AM35-AM37-AM38</x:f>
        <x:v>0</x:v>
      </x:c>
      <x:c r="AN39" s="12" t="n">
        <x:f>AN21-AN35-AN37-AN38</x:f>
        <x:v>0</x:v>
      </x:c>
      <x:c r="AO39" s="1"/>
    </x:row>
    <x:row r="40" ht="23" customHeight="1">
      <x:c r="A40" s="1"/>
      <x:c r="B40" s="1"/>
      <x:c r="C40" s="1" t="str">
        <x:v>DSCR · operating periods only</x:v>
      </x:c>
      <x:c r="D40" s="1"/>
      <x:c r="E40" s="18" t="str">
        <x:f>"n.a."</x:f>
        <x:v>n.a.</x:v>
      </x:c>
      <x:c r="F40" s="18" t="str">
        <x:f>IF(AND(F10=1,F31&gt;0.0000001),F39/F31,"n.a.")</x:f>
        <x:v>n.a.</x:v>
      </x:c>
      <x:c r="G40" s="18" t="n">
        <x:f>IF(AND(G10=1,G31&gt;0.0000001),G39/G31,"n.a.")</x:f>
        <x:v>0.9780680272108841</x:v>
      </x:c>
      <x:c r="H40" s="18" t="n">
        <x:f>IF(AND(H10=1,H31&gt;0.0000001),H39/H31,"n.a.")</x:f>
        <x:v>0.866652936021034</x:v>
      </x:c>
      <x:c r="I40" s="18" t="n">
        <x:f>IF(AND(I10=1,I31&gt;0.0000001),I39/I31,"n.a.")</x:f>
        <x:v>1.2998397435897435</x:v>
      </x:c>
      <x:c r="J40" s="18" t="n">
        <x:f>IF(AND(J10=1,J31&gt;0.0000001),J39/J31,"n.a.")</x:f>
        <x:v>1.6868456989453502</x:v>
      </x:c>
      <x:c r="K40" s="18" t="n">
        <x:f>IF(AND(K10=1,K31&gt;0.0000001),K39/K31,"n.a.")</x:f>
        <x:v>2.0305372732394367</x:v>
      </x:c>
      <x:c r="L40" s="18" t="n">
        <x:f>IF(AND(L10=1,L31&gt;0.0000001),L39/L31,"n.a.")</x:f>
        <x:v>2.212568877748148</x:v>
      </x:c>
      <x:c r="M40" s="18" t="n">
        <x:f>IF(AND(M10=1,M31&gt;0.0000001),M39/M31,"n.a.")</x:f>
        <x:v>2.3946571665864282</x:v>
      </x:c>
      <x:c r="N40" s="18" t="n">
        <x:f>IF(AND(N10=1,N31&gt;0.0000001),N39/N31,"n.a.")</x:f>
        <x:v>2.5993952274931154</x:v>
      </x:c>
      <x:c r="O40" s="18" t="n">
        <x:f>IF(AND(O10=1,O31&gt;0.0000001),O39/O31,"n.a.")</x:f>
        <x:v>2.830988963459151</x:v>
      </x:c>
      <x:c r="P40" s="18" t="n">
        <x:f>IF(AND(P10=1,P31&gt;0.0000001),P39/P31,"n.a.")</x:f>
        <x:v>3.094745603067041</x:v>
      </x:c>
      <x:c r="Q40" s="18" t="str">
        <x:f>IF(AND(Q10=1,Q31&gt;0.0000001),Q39/Q31,"n.a.")</x:f>
        <x:v>n.a.</x:v>
      </x:c>
      <x:c r="R40" s="18" t="str">
        <x:f>IF(AND(R10=1,R31&gt;0.0000001),R39/R31,"n.a.")</x:f>
        <x:v>n.a.</x:v>
      </x:c>
      <x:c r="S40" s="18" t="str">
        <x:f>IF(AND(S10=1,S31&gt;0.0000001),S39/S31,"n.a.")</x:f>
        <x:v>n.a.</x:v>
      </x:c>
      <x:c r="T40" s="18" t="str">
        <x:f>IF(AND(T10=1,T31&gt;0.0000001),T39/T31,"n.a.")</x:f>
        <x:v>n.a.</x:v>
      </x:c>
      <x:c r="U40" s="18" t="str">
        <x:f>IF(AND(U10=1,U31&gt;0.0000001),U39/U31,"n.a.")</x:f>
        <x:v>n.a.</x:v>
      </x:c>
      <x:c r="V40" s="18" t="str">
        <x:f>IF(AND(V10=1,V31&gt;0.0000001),V39/V31,"n.a.")</x:f>
        <x:v>n.a.</x:v>
      </x:c>
      <x:c r="W40" s="18" t="str">
        <x:f>IF(AND(W10=1,W31&gt;0.0000001),W39/W31,"n.a.")</x:f>
        <x:v>n.a.</x:v>
      </x:c>
      <x:c r="X40" s="18" t="str">
        <x:f>IF(AND(X10=1,X31&gt;0.0000001),X39/X31,"n.a.")</x:f>
        <x:v>n.a.</x:v>
      </x:c>
      <x:c r="Y40" s="18" t="str">
        <x:f>IF(AND(Y10=1,Y31&gt;0.0000001),Y39/Y31,"n.a.")</x:f>
        <x:v>n.a.</x:v>
      </x:c>
      <x:c r="Z40" s="18" t="str">
        <x:f>IF(AND(Z10=1,Z31&gt;0.0000001),Z39/Z31,"n.a.")</x:f>
        <x:v>n.a.</x:v>
      </x:c>
      <x:c r="AA40" s="18" t="str">
        <x:f>IF(AND(AA10=1,AA31&gt;0.0000001),AA39/AA31,"n.a.")</x:f>
        <x:v>n.a.</x:v>
      </x:c>
      <x:c r="AB40" s="18" t="str">
        <x:f>IF(AND(AB10=1,AB31&gt;0.0000001),AB39/AB31,"n.a.")</x:f>
        <x:v>n.a.</x:v>
      </x:c>
      <x:c r="AC40" s="18" t="str">
        <x:f>IF(AND(AC10=1,AC31&gt;0.0000001),AC39/AC31,"n.a.")</x:f>
        <x:v>n.a.</x:v>
      </x:c>
      <x:c r="AD40" s="18" t="str">
        <x:f>IF(AND(AD10=1,AD31&gt;0.0000001),AD39/AD31,"n.a.")</x:f>
        <x:v>n.a.</x:v>
      </x:c>
      <x:c r="AE40" s="18" t="str">
        <x:f>IF(AND(AE10=1,AE31&gt;0.0000001),AE39/AE31,"n.a.")</x:f>
        <x:v>n.a.</x:v>
      </x:c>
      <x:c r="AF40" s="18" t="str">
        <x:f>IF(AND(AF10=1,AF31&gt;0.0000001),AF39/AF31,"n.a.")</x:f>
        <x:v>n.a.</x:v>
      </x:c>
      <x:c r="AG40" s="18" t="str">
        <x:f>IF(AND(AG10=1,AG31&gt;0.0000001),AG39/AG31,"n.a.")</x:f>
        <x:v>n.a.</x:v>
      </x:c>
      <x:c r="AH40" s="18" t="str">
        <x:f>IF(AND(AH10=1,AH31&gt;0.0000001),AH39/AH31,"n.a.")</x:f>
        <x:v>n.a.</x:v>
      </x:c>
      <x:c r="AI40" s="18" t="str">
        <x:f>IF(AND(AI10=1,AI31&gt;0.0000001),AI39/AI31,"n.a.")</x:f>
        <x:v>n.a.</x:v>
      </x:c>
      <x:c r="AJ40" s="18" t="str">
        <x:f>IF(AND(AJ10=1,AJ31&gt;0.0000001),AJ39/AJ31,"n.a.")</x:f>
        <x:v>n.a.</x:v>
      </x:c>
      <x:c r="AK40" s="18" t="str">
        <x:f>IF(AND(AK10=1,AK31&gt;0.0000001),AK39/AK31,"n.a.")</x:f>
        <x:v>n.a.</x:v>
      </x:c>
      <x:c r="AL40" s="18" t="str">
        <x:f>IF(AND(AL10=1,AL31&gt;0.0000001),AL39/AL31,"n.a.")</x:f>
        <x:v>n.a.</x:v>
      </x:c>
      <x:c r="AM40" s="18" t="str">
        <x:f>IF(AND(AM10=1,AM31&gt;0.0000001),AM39/AM31,"n.a.")</x:f>
        <x:v>n.a.</x:v>
      </x:c>
      <x:c r="AN40" s="18" t="str">
        <x:f>IF(AND(AN10=1,AN31&gt;0.0000001),AN39/AN31,"n.a.")</x:f>
        <x:v>n.a.</x:v>
      </x:c>
      <x:c r="AO40" s="1"/>
    </x:row>
    <x:row r="41" ht="23" customHeight="1">
      <x:c r="A41" s="1"/>
      <x:c r="B41" s="1"/>
      <x:c r="C41" s="1" t="str">
        <x:v>Below coverage threshold</x:v>
      </x:c>
      <x:c r="D41" s="1"/>
      <x:c r="E41" s="12" t="n">
        <x:f>0</x:f>
        <x:v>0</x:v>
      </x:c>
      <x:c r="F41" s="16" t="n">
        <x:f>IF(AND(ISNUMBER(F40),F40&lt;Assumptions!$H$39),1,0)</x:f>
        <x:v>0</x:v>
      </x:c>
      <x:c r="G41" s="16" t="n">
        <x:f>IF(AND(ISNUMBER(G40),G40&lt;Assumptions!$H$39),1,0)</x:f>
        <x:v>1</x:v>
      </x:c>
      <x:c r="H41" s="16" t="n">
        <x:f>IF(AND(ISNUMBER(H40),H40&lt;Assumptions!$H$39),1,0)</x:f>
        <x:v>1</x:v>
      </x:c>
      <x:c r="I41" s="16" t="n">
        <x:f>IF(AND(ISNUMBER(I40),I40&lt;Assumptions!$H$39),1,0)</x:f>
        <x:v>0</x:v>
      </x:c>
      <x:c r="J41" s="16" t="n">
        <x:f>IF(AND(ISNUMBER(J40),J40&lt;Assumptions!$H$39),1,0)</x:f>
        <x:v>0</x:v>
      </x:c>
      <x:c r="K41" s="16" t="n">
        <x:f>IF(AND(ISNUMBER(K40),K40&lt;Assumptions!$H$39),1,0)</x:f>
        <x:v>0</x:v>
      </x:c>
      <x:c r="L41" s="16" t="n">
        <x:f>IF(AND(ISNUMBER(L40),L40&lt;Assumptions!$H$39),1,0)</x:f>
        <x:v>0</x:v>
      </x:c>
      <x:c r="M41" s="16" t="n">
        <x:f>IF(AND(ISNUMBER(M40),M40&lt;Assumptions!$H$39),1,0)</x:f>
        <x:v>0</x:v>
      </x:c>
      <x:c r="N41" s="16" t="n">
        <x:f>IF(AND(ISNUMBER(N40),N40&lt;Assumptions!$H$39),1,0)</x:f>
        <x:v>0</x:v>
      </x:c>
      <x:c r="O41" s="16" t="n">
        <x:f>IF(AND(ISNUMBER(O40),O40&lt;Assumptions!$H$39),1,0)</x:f>
        <x:v>0</x:v>
      </x:c>
      <x:c r="P41" s="16" t="n">
        <x:f>IF(AND(ISNUMBER(P40),P40&lt;Assumptions!$H$39),1,0)</x:f>
        <x:v>0</x:v>
      </x:c>
      <x:c r="Q41" s="16" t="n">
        <x:f>IF(AND(ISNUMBER(Q40),Q40&lt;Assumptions!$H$39),1,0)</x:f>
        <x:v>0</x:v>
      </x:c>
      <x:c r="R41" s="16" t="n">
        <x:f>IF(AND(ISNUMBER(R40),R40&lt;Assumptions!$H$39),1,0)</x:f>
        <x:v>0</x:v>
      </x:c>
      <x:c r="S41" s="16" t="n">
        <x:f>IF(AND(ISNUMBER(S40),S40&lt;Assumptions!$H$39),1,0)</x:f>
        <x:v>0</x:v>
      </x:c>
      <x:c r="T41" s="16" t="n">
        <x:f>IF(AND(ISNUMBER(T40),T40&lt;Assumptions!$H$39),1,0)</x:f>
        <x:v>0</x:v>
      </x:c>
      <x:c r="U41" s="16" t="n">
        <x:f>IF(AND(ISNUMBER(U40),U40&lt;Assumptions!$H$39),1,0)</x:f>
        <x:v>0</x:v>
      </x:c>
      <x:c r="V41" s="16" t="n">
        <x:f>IF(AND(ISNUMBER(V40),V40&lt;Assumptions!$H$39),1,0)</x:f>
        <x:v>0</x:v>
      </x:c>
      <x:c r="W41" s="16" t="n">
        <x:f>IF(AND(ISNUMBER(W40),W40&lt;Assumptions!$H$39),1,0)</x:f>
        <x:v>0</x:v>
      </x:c>
      <x:c r="X41" s="16" t="n">
        <x:f>IF(AND(ISNUMBER(X40),X40&lt;Assumptions!$H$39),1,0)</x:f>
        <x:v>0</x:v>
      </x:c>
      <x:c r="Y41" s="16" t="n">
        <x:f>IF(AND(ISNUMBER(Y40),Y40&lt;Assumptions!$H$39),1,0)</x:f>
        <x:v>0</x:v>
      </x:c>
      <x:c r="Z41" s="16" t="n">
        <x:f>IF(AND(ISNUMBER(Z40),Z40&lt;Assumptions!$H$39),1,0)</x:f>
        <x:v>0</x:v>
      </x:c>
      <x:c r="AA41" s="16" t="n">
        <x:f>IF(AND(ISNUMBER(AA40),AA40&lt;Assumptions!$H$39),1,0)</x:f>
        <x:v>0</x:v>
      </x:c>
      <x:c r="AB41" s="16" t="n">
        <x:f>IF(AND(ISNUMBER(AB40),AB40&lt;Assumptions!$H$39),1,0)</x:f>
        <x:v>0</x:v>
      </x:c>
      <x:c r="AC41" s="16" t="n">
        <x:f>IF(AND(ISNUMBER(AC40),AC40&lt;Assumptions!$H$39),1,0)</x:f>
        <x:v>0</x:v>
      </x:c>
      <x:c r="AD41" s="16" t="n">
        <x:f>IF(AND(ISNUMBER(AD40),AD40&lt;Assumptions!$H$39),1,0)</x:f>
        <x:v>0</x:v>
      </x:c>
      <x:c r="AE41" s="16" t="n">
        <x:f>IF(AND(ISNUMBER(AE40),AE40&lt;Assumptions!$H$39),1,0)</x:f>
        <x:v>0</x:v>
      </x:c>
      <x:c r="AF41" s="16" t="n">
        <x:f>IF(AND(ISNUMBER(AF40),AF40&lt;Assumptions!$H$39),1,0)</x:f>
        <x:v>0</x:v>
      </x:c>
      <x:c r="AG41" s="16" t="n">
        <x:f>IF(AND(ISNUMBER(AG40),AG40&lt;Assumptions!$H$39),1,0)</x:f>
        <x:v>0</x:v>
      </x:c>
      <x:c r="AH41" s="16" t="n">
        <x:f>IF(AND(ISNUMBER(AH40),AH40&lt;Assumptions!$H$39),1,0)</x:f>
        <x:v>0</x:v>
      </x:c>
      <x:c r="AI41" s="16" t="n">
        <x:f>IF(AND(ISNUMBER(AI40),AI40&lt;Assumptions!$H$39),1,0)</x:f>
        <x:v>0</x:v>
      </x:c>
      <x:c r="AJ41" s="16" t="n">
        <x:f>IF(AND(ISNUMBER(AJ40),AJ40&lt;Assumptions!$H$39),1,0)</x:f>
        <x:v>0</x:v>
      </x:c>
      <x:c r="AK41" s="16" t="n">
        <x:f>IF(AND(ISNUMBER(AK40),AK40&lt;Assumptions!$H$39),1,0)</x:f>
        <x:v>0</x:v>
      </x:c>
      <x:c r="AL41" s="16" t="n">
        <x:f>IF(AND(ISNUMBER(AL40),AL40&lt;Assumptions!$H$39),1,0)</x:f>
        <x:v>0</x:v>
      </x:c>
      <x:c r="AM41" s="16" t="n">
        <x:f>IF(AND(ISNUMBER(AM40),AM40&lt;Assumptions!$H$39),1,0)</x:f>
        <x:v>0</x:v>
      </x:c>
      <x:c r="AN41" s="16" t="n">
        <x:f>IF(AND(ISNUMBER(AN40),AN40&lt;Assumptions!$H$39),1,0)</x:f>
        <x:v>0</x:v>
      </x:c>
      <x:c r="AO41" s="1"/>
    </x:row>
    <x:row r="42" ht="23" customHeight="1">
      <x:c r="A42" s="1"/>
      <x:c r="B42" s="1"/>
      <x:c r="C42" s="1"/>
      <x:c r="D42" s="1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  <x:c r="X42" s="12"/>
      <x:c r="Y42" s="12"/>
      <x:c r="Z42" s="12"/>
      <x:c r="AA42" s="12"/>
      <x:c r="AB42" s="12"/>
      <x:c r="AC42" s="12"/>
      <x:c r="AD42" s="12"/>
      <x:c r="AE42" s="12"/>
      <x:c r="AF42" s="12"/>
      <x:c r="AG42" s="12"/>
      <x:c r="AH42" s="12"/>
      <x:c r="AI42" s="12"/>
      <x:c r="AJ42" s="12"/>
      <x:c r="AK42" s="12"/>
      <x:c r="AL42" s="12"/>
      <x:c r="AM42" s="12"/>
      <x:c r="AN42" s="12"/>
      <x:c r="AO42" s="1"/>
    </x:row>
    <x:row r="43" ht="23" customHeight="1">
      <x:c r="A43" s="1"/>
      <x:c r="B43" s="1"/>
      <x:c r="C43" s="1"/>
      <x:c r="D43" s="1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  <x:c r="X43" s="12"/>
      <x:c r="Y43" s="12"/>
      <x:c r="Z43" s="12"/>
      <x:c r="AA43" s="12"/>
      <x:c r="AB43" s="12"/>
      <x:c r="AC43" s="12"/>
      <x:c r="AD43" s="12"/>
      <x:c r="AE43" s="12"/>
      <x:c r="AF43" s="12"/>
      <x:c r="AG43" s="12"/>
      <x:c r="AH43" s="12"/>
      <x:c r="AI43" s="12"/>
      <x:c r="AJ43" s="12"/>
      <x:c r="AK43" s="12"/>
      <x:c r="AL43" s="12"/>
      <x:c r="AM43" s="12"/>
      <x:c r="AN43" s="12"/>
      <x:c r="AO43" s="1"/>
    </x:row>
    <x:row r="44" ht="23" customHeight="1">
      <x:c r="A44" s="1"/>
      <x:c r="B44" s="1"/>
      <x:c r="C44" s="1" t="str">
        <x:v>Gross terminal value</x:v>
      </x:c>
      <x:c r="D44" s="1"/>
      <x:c r="E44" s="12" t="n">
        <x:f>0</x:f>
        <x:v>0</x:v>
      </x:c>
      <x:c r="F44" s="16" t="n">
        <x:f>IF(F8=$E$72,Assumptions!$H$30,0)</x:f>
        <x:v>0</x:v>
      </x:c>
      <x:c r="G44" s="16" t="n">
        <x:f>IF(G8=$E$72,Assumptions!$H$30,0)</x:f>
        <x:v>0</x:v>
      </x:c>
      <x:c r="H44" s="16" t="n">
        <x:f>IF(H8=$E$72,Assumptions!$H$30,0)</x:f>
        <x:v>0</x:v>
      </x:c>
      <x:c r="I44" s="16" t="n">
        <x:f>IF(I8=$E$72,Assumptions!$H$30,0)</x:f>
        <x:v>0</x:v>
      </x:c>
      <x:c r="J44" s="16" t="n">
        <x:f>IF(J8=$E$72,Assumptions!$H$30,0)</x:f>
        <x:v>0</x:v>
      </x:c>
      <x:c r="K44" s="16" t="n">
        <x:f>IF(K8=$E$72,Assumptions!$H$30,0)</x:f>
        <x:v>0</x:v>
      </x:c>
      <x:c r="L44" s="16" t="n">
        <x:f>IF(L8=$E$72,Assumptions!$H$30,0)</x:f>
        <x:v>0</x:v>
      </x:c>
      <x:c r="M44" s="16" t="n">
        <x:f>IF(M8=$E$72,Assumptions!$H$30,0)</x:f>
        <x:v>0</x:v>
      </x:c>
      <x:c r="N44" s="16" t="n">
        <x:f>IF(N8=$E$72,Assumptions!$H$30,0)</x:f>
        <x:v>0</x:v>
      </x:c>
      <x:c r="O44" s="16" t="n">
        <x:f>IF(O8=$E$72,Assumptions!$H$30,0)</x:f>
        <x:v>0</x:v>
      </x:c>
      <x:c r="P44" s="16" t="n">
        <x:f>IF(P8=$E$72,Assumptions!$H$30,0)</x:f>
        <x:v>0</x:v>
      </x:c>
      <x:c r="Q44" s="16" t="n">
        <x:f>IF(Q8=$E$72,Assumptions!$H$30,0)</x:f>
        <x:v>0</x:v>
      </x:c>
      <x:c r="R44" s="16" t="n">
        <x:f>IF(R8=$E$72,Assumptions!$H$30,0)</x:f>
        <x:v>0</x:v>
      </x:c>
      <x:c r="S44" s="16" t="n">
        <x:f>IF(S8=$E$72,Assumptions!$H$30,0)</x:f>
        <x:v>0</x:v>
      </x:c>
      <x:c r="T44" s="16" t="n">
        <x:f>IF(T8=$E$72,Assumptions!$H$30,0)</x:f>
        <x:v>0</x:v>
      </x:c>
      <x:c r="U44" s="16" t="n">
        <x:f>IF(U8=$E$72,Assumptions!$H$30,0)</x:f>
        <x:v>0</x:v>
      </x:c>
      <x:c r="V44" s="16" t="n">
        <x:f>IF(V8=$E$72,Assumptions!$H$30,0)</x:f>
        <x:v>0</x:v>
      </x:c>
      <x:c r="W44" s="16" t="n">
        <x:f>IF(W8=$E$72,Assumptions!$H$30,0)</x:f>
        <x:v>0</x:v>
      </x:c>
      <x:c r="X44" s="16" t="n">
        <x:f>IF(X8=$E$72,Assumptions!$H$30,0)</x:f>
        <x:v>0</x:v>
      </x:c>
      <x:c r="Y44" s="16" t="n">
        <x:f>IF(Y8=$E$72,Assumptions!$H$30,0)</x:f>
        <x:v>0</x:v>
      </x:c>
      <x:c r="Z44" s="16" t="n">
        <x:f>IF(Z8=$E$72,Assumptions!$H$30,0)</x:f>
        <x:v>0</x:v>
      </x:c>
      <x:c r="AA44" s="16" t="n">
        <x:f>IF(AA8=$E$72,Assumptions!$H$30,0)</x:f>
        <x:v>0</x:v>
      </x:c>
      <x:c r="AB44" s="16" t="n">
        <x:f>IF(AB8=$E$72,Assumptions!$H$30,0)</x:f>
        <x:v>0</x:v>
      </x:c>
      <x:c r="AC44" s="16" t="n">
        <x:f>IF(AC8=$E$72,Assumptions!$H$30,0)</x:f>
        <x:v>0</x:v>
      </x:c>
      <x:c r="AD44" s="16" t="n">
        <x:f>IF(AD8=$E$72,Assumptions!$H$30,0)</x:f>
        <x:v>0</x:v>
      </x:c>
      <x:c r="AE44" s="16" t="n">
        <x:f>IF(AE8=$E$72,Assumptions!$H$30,0)</x:f>
        <x:v>0</x:v>
      </x:c>
      <x:c r="AF44" s="16" t="n">
        <x:f>IF(AF8=$E$72,Assumptions!$H$30,0)</x:f>
        <x:v>0</x:v>
      </x:c>
      <x:c r="AG44" s="16" t="n">
        <x:f>IF(AG8=$E$72,Assumptions!$H$30,0)</x:f>
        <x:v>0</x:v>
      </x:c>
      <x:c r="AH44" s="16" t="n">
        <x:f>IF(AH8=$E$72,Assumptions!$H$30,0)</x:f>
        <x:v>0</x:v>
      </x:c>
      <x:c r="AI44" s="16" t="n">
        <x:f>IF(AI8=$E$72,Assumptions!$H$30,0)</x:f>
        <x:v>0</x:v>
      </x:c>
      <x:c r="AJ44" s="16" t="n">
        <x:f>IF(AJ8=$E$72,Assumptions!$H$30,0)</x:f>
        <x:v>0</x:v>
      </x:c>
      <x:c r="AK44" s="16" t="n">
        <x:f>IF(AK8=$E$72,Assumptions!$H$30,0)</x:f>
        <x:v>0</x:v>
      </x:c>
      <x:c r="AL44" s="16" t="n">
        <x:f>IF(AL8=$E$72,Assumptions!$H$30,0)</x:f>
        <x:v>0</x:v>
      </x:c>
      <x:c r="AM44" s="16" t="n">
        <x:f>IF(AM8=$E$72,Assumptions!$H$30,0)</x:f>
        <x:v>0</x:v>
      </x:c>
      <x:c r="AN44" s="16" t="n">
        <x:f>IF(AN8=$E$72,Assumptions!$H$30,0)</x:f>
        <x:v>0</x:v>
      </x:c>
      <x:c r="AO44" s="1"/>
    </x:row>
    <x:row r="45" ht="23" customHeight="1">
      <x:c r="A45" s="1"/>
      <x:c r="B45" s="1"/>
      <x:c r="C45" s="1" t="str">
        <x:v>Tax on disposal gain</x:v>
      </x:c>
      <x:c r="D45" s="1"/>
      <x:c r="E45" s="12" t="n">
        <x:f>0</x:f>
        <x:v>0</x:v>
      </x:c>
      <x:c r="F45" s="16" t="n">
        <x:f>IF(F8=$E$72,MAX(0,F44-$E$71)*Assumptions!$H$31,0)</x:f>
        <x:v>0</x:v>
      </x:c>
      <x:c r="G45" s="16" t="n">
        <x:f>IF(G8=$E$72,MAX(0,G44-$E$71)*Assumptions!$H$31,0)</x:f>
        <x:v>0</x:v>
      </x:c>
      <x:c r="H45" s="16" t="n">
        <x:f>IF(H8=$E$72,MAX(0,H44-$E$71)*Assumptions!$H$31,0)</x:f>
        <x:v>0</x:v>
      </x:c>
      <x:c r="I45" s="16" t="n">
        <x:f>IF(I8=$E$72,MAX(0,I44-$E$71)*Assumptions!$H$31,0)</x:f>
        <x:v>0</x:v>
      </x:c>
      <x:c r="J45" s="16" t="n">
        <x:f>IF(J8=$E$72,MAX(0,J44-$E$71)*Assumptions!$H$31,0)</x:f>
        <x:v>0</x:v>
      </x:c>
      <x:c r="K45" s="16" t="n">
        <x:f>IF(K8=$E$72,MAX(0,K44-$E$71)*Assumptions!$H$31,0)</x:f>
        <x:v>0</x:v>
      </x:c>
      <x:c r="L45" s="16" t="n">
        <x:f>IF(L8=$E$72,MAX(0,L44-$E$71)*Assumptions!$H$31,0)</x:f>
        <x:v>0</x:v>
      </x:c>
      <x:c r="M45" s="16" t="n">
        <x:f>IF(M8=$E$72,MAX(0,M44-$E$71)*Assumptions!$H$31,0)</x:f>
        <x:v>0</x:v>
      </x:c>
      <x:c r="N45" s="16" t="n">
        <x:f>IF(N8=$E$72,MAX(0,N44-$E$71)*Assumptions!$H$31,0)</x:f>
        <x:v>0</x:v>
      </x:c>
      <x:c r="O45" s="16" t="n">
        <x:f>IF(O8=$E$72,MAX(0,O44-$E$71)*Assumptions!$H$31,0)</x:f>
        <x:v>0</x:v>
      </x:c>
      <x:c r="P45" s="16" t="n">
        <x:f>IF(P8=$E$72,MAX(0,P44-$E$71)*Assumptions!$H$31,0)</x:f>
        <x:v>0</x:v>
      </x:c>
      <x:c r="Q45" s="16" t="n">
        <x:f>IF(Q8=$E$72,MAX(0,Q44-$E$71)*Assumptions!$H$31,0)</x:f>
        <x:v>0</x:v>
      </x:c>
      <x:c r="R45" s="16" t="n">
        <x:f>IF(R8=$E$72,MAX(0,R44-$E$71)*Assumptions!$H$31,0)</x:f>
        <x:v>0</x:v>
      </x:c>
      <x:c r="S45" s="16" t="n">
        <x:f>IF(S8=$E$72,MAX(0,S44-$E$71)*Assumptions!$H$31,0)</x:f>
        <x:v>0</x:v>
      </x:c>
      <x:c r="T45" s="16" t="n">
        <x:f>IF(T8=$E$72,MAX(0,T44-$E$71)*Assumptions!$H$31,0)</x:f>
        <x:v>0</x:v>
      </x:c>
      <x:c r="U45" s="16" t="n">
        <x:f>IF(U8=$E$72,MAX(0,U44-$E$71)*Assumptions!$H$31,0)</x:f>
        <x:v>0</x:v>
      </x:c>
      <x:c r="V45" s="16" t="n">
        <x:f>IF(V8=$E$72,MAX(0,V44-$E$71)*Assumptions!$H$31,0)</x:f>
        <x:v>0</x:v>
      </x:c>
      <x:c r="W45" s="16" t="n">
        <x:f>IF(W8=$E$72,MAX(0,W44-$E$71)*Assumptions!$H$31,0)</x:f>
        <x:v>0</x:v>
      </x:c>
      <x:c r="X45" s="16" t="n">
        <x:f>IF(X8=$E$72,MAX(0,X44-$E$71)*Assumptions!$H$31,0)</x:f>
        <x:v>0</x:v>
      </x:c>
      <x:c r="Y45" s="16" t="n">
        <x:f>IF(Y8=$E$72,MAX(0,Y44-$E$71)*Assumptions!$H$31,0)</x:f>
        <x:v>0</x:v>
      </x:c>
      <x:c r="Z45" s="16" t="n">
        <x:f>IF(Z8=$E$72,MAX(0,Z44-$E$71)*Assumptions!$H$31,0)</x:f>
        <x:v>0</x:v>
      </x:c>
      <x:c r="AA45" s="16" t="n">
        <x:f>IF(AA8=$E$72,MAX(0,AA44-$E$71)*Assumptions!$H$31,0)</x:f>
        <x:v>0</x:v>
      </x:c>
      <x:c r="AB45" s="16" t="n">
        <x:f>IF(AB8=$E$72,MAX(0,AB44-$E$71)*Assumptions!$H$31,0)</x:f>
        <x:v>0</x:v>
      </x:c>
      <x:c r="AC45" s="16" t="n">
        <x:f>IF(AC8=$E$72,MAX(0,AC44-$E$71)*Assumptions!$H$31,0)</x:f>
        <x:v>0</x:v>
      </x:c>
      <x:c r="AD45" s="16" t="n">
        <x:f>IF(AD8=$E$72,MAX(0,AD44-$E$71)*Assumptions!$H$31,0)</x:f>
        <x:v>0</x:v>
      </x:c>
      <x:c r="AE45" s="16" t="n">
        <x:f>IF(AE8=$E$72,MAX(0,AE44-$E$71)*Assumptions!$H$31,0)</x:f>
        <x:v>0</x:v>
      </x:c>
      <x:c r="AF45" s="16" t="n">
        <x:f>IF(AF8=$E$72,MAX(0,AF44-$E$71)*Assumptions!$H$31,0)</x:f>
        <x:v>0</x:v>
      </x:c>
      <x:c r="AG45" s="16" t="n">
        <x:f>IF(AG8=$E$72,MAX(0,AG44-$E$71)*Assumptions!$H$31,0)</x:f>
        <x:v>0</x:v>
      </x:c>
      <x:c r="AH45" s="16" t="n">
        <x:f>IF(AH8=$E$72,MAX(0,AH44-$E$71)*Assumptions!$H$31,0)</x:f>
        <x:v>0</x:v>
      </x:c>
      <x:c r="AI45" s="16" t="n">
        <x:f>IF(AI8=$E$72,MAX(0,AI44-$E$71)*Assumptions!$H$31,0)</x:f>
        <x:v>0</x:v>
      </x:c>
      <x:c r="AJ45" s="16" t="n">
        <x:f>IF(AJ8=$E$72,MAX(0,AJ44-$E$71)*Assumptions!$H$31,0)</x:f>
        <x:v>0</x:v>
      </x:c>
      <x:c r="AK45" s="16" t="n">
        <x:f>IF(AK8=$E$72,MAX(0,AK44-$E$71)*Assumptions!$H$31,0)</x:f>
        <x:v>0</x:v>
      </x:c>
      <x:c r="AL45" s="16" t="n">
        <x:f>IF(AL8=$E$72,MAX(0,AL44-$E$71)*Assumptions!$H$31,0)</x:f>
        <x:v>0</x:v>
      </x:c>
      <x:c r="AM45" s="16" t="n">
        <x:f>IF(AM8=$E$72,MAX(0,AM44-$E$71)*Assumptions!$H$31,0)</x:f>
        <x:v>0</x:v>
      </x:c>
      <x:c r="AN45" s="16" t="n">
        <x:f>IF(AN8=$E$72,MAX(0,AN44-$E$71)*Assumptions!$H$31,0)</x:f>
        <x:v>0</x:v>
      </x:c>
      <x:c r="AO45" s="1"/>
    </x:row>
    <x:row r="46" ht="23" customHeight="1">
      <x:c r="A46" s="1"/>
      <x:c r="B46" s="1"/>
      <x:c r="C46" s="1" t="str">
        <x:v>Working capital release</x:v>
      </x:c>
      <x:c r="D46" s="1"/>
      <x:c r="E46" s="12" t="n">
        <x:f>0</x:f>
        <x:v>0</x:v>
      </x:c>
      <x:c r="F46" s="12" t="n">
        <x:f>IF(F8=$E$72,F36,0)</x:f>
        <x:v>0</x:v>
      </x:c>
      <x:c r="G46" s="12" t="n">
        <x:f>IF(G8=$E$72,G36,0)</x:f>
        <x:v>0</x:v>
      </x:c>
      <x:c r="H46" s="12" t="n">
        <x:f>IF(H8=$E$72,H36,0)</x:f>
        <x:v>0</x:v>
      </x:c>
      <x:c r="I46" s="12" t="n">
        <x:f>IF(I8=$E$72,I36,0)</x:f>
        <x:v>0</x:v>
      </x:c>
      <x:c r="J46" s="12" t="n">
        <x:f>IF(J8=$E$72,J36,0)</x:f>
        <x:v>0</x:v>
      </x:c>
      <x:c r="K46" s="12" t="n">
        <x:f>IF(K8=$E$72,K36,0)</x:f>
        <x:v>0</x:v>
      </x:c>
      <x:c r="L46" s="12" t="n">
        <x:f>IF(L8=$E$72,L36,0)</x:f>
        <x:v>0</x:v>
      </x:c>
      <x:c r="M46" s="12" t="n">
        <x:f>IF(M8=$E$72,M36,0)</x:f>
        <x:v>0</x:v>
      </x:c>
      <x:c r="N46" s="12" t="n">
        <x:f>IF(N8=$E$72,N36,0)</x:f>
        <x:v>0</x:v>
      </x:c>
      <x:c r="O46" s="12" t="n">
        <x:f>IF(O8=$E$72,O36,0)</x:f>
        <x:v>0</x:v>
      </x:c>
      <x:c r="P46" s="12" t="n">
        <x:f>IF(P8=$E$72,P36,0)</x:f>
        <x:v>0</x:v>
      </x:c>
      <x:c r="Q46" s="12" t="n">
        <x:f>IF(Q8=$E$72,Q36,0)</x:f>
        <x:v>0</x:v>
      </x:c>
      <x:c r="R46" s="12" t="n">
        <x:f>IF(R8=$E$72,R36,0)</x:f>
        <x:v>0</x:v>
      </x:c>
      <x:c r="S46" s="12" t="n">
        <x:f>IF(S8=$E$72,S36,0)</x:f>
        <x:v>0</x:v>
      </x:c>
      <x:c r="T46" s="12" t="n">
        <x:f>IF(T8=$E$72,T36,0)</x:f>
        <x:v>0</x:v>
      </x:c>
      <x:c r="U46" s="12" t="n">
        <x:f>IF(U8=$E$72,U36,0)</x:f>
        <x:v>890648.1650674389</x:v>
      </x:c>
      <x:c r="V46" s="12" t="n">
        <x:f>IF(V8=$E$72,V36,0)</x:f>
        <x:v>0</x:v>
      </x:c>
      <x:c r="W46" s="12" t="n">
        <x:f>IF(W8=$E$72,W36,0)</x:f>
        <x:v>0</x:v>
      </x:c>
      <x:c r="X46" s="12" t="n">
        <x:f>IF(X8=$E$72,X36,0)</x:f>
        <x:v>0</x:v>
      </x:c>
      <x:c r="Y46" s="12" t="n">
        <x:f>IF(Y8=$E$72,Y36,0)</x:f>
        <x:v>0</x:v>
      </x:c>
      <x:c r="Z46" s="12" t="n">
        <x:f>IF(Z8=$E$72,Z36,0)</x:f>
        <x:v>0</x:v>
      </x:c>
      <x:c r="AA46" s="12" t="n">
        <x:f>IF(AA8=$E$72,AA36,0)</x:f>
        <x:v>0</x:v>
      </x:c>
      <x:c r="AB46" s="12" t="n">
        <x:f>IF(AB8=$E$72,AB36,0)</x:f>
        <x:v>0</x:v>
      </x:c>
      <x:c r="AC46" s="12" t="n">
        <x:f>IF(AC8=$E$72,AC36,0)</x:f>
        <x:v>0</x:v>
      </x:c>
      <x:c r="AD46" s="12" t="n">
        <x:f>IF(AD8=$E$72,AD36,0)</x:f>
        <x:v>0</x:v>
      </x:c>
      <x:c r="AE46" s="12" t="n">
        <x:f>IF(AE8=$E$72,AE36,0)</x:f>
        <x:v>0</x:v>
      </x:c>
      <x:c r="AF46" s="12" t="n">
        <x:f>IF(AF8=$E$72,AF36,0)</x:f>
        <x:v>0</x:v>
      </x:c>
      <x:c r="AG46" s="12" t="n">
        <x:f>IF(AG8=$E$72,AG36,0)</x:f>
        <x:v>0</x:v>
      </x:c>
      <x:c r="AH46" s="12" t="n">
        <x:f>IF(AH8=$E$72,AH36,0)</x:f>
        <x:v>0</x:v>
      </x:c>
      <x:c r="AI46" s="12" t="n">
        <x:f>IF(AI8=$E$72,AI36,0)</x:f>
        <x:v>0</x:v>
      </x:c>
      <x:c r="AJ46" s="12" t="n">
        <x:f>IF(AJ8=$E$72,AJ36,0)</x:f>
        <x:v>0</x:v>
      </x:c>
      <x:c r="AK46" s="12" t="n">
        <x:f>IF(AK8=$E$72,AK36,0)</x:f>
        <x:v>0</x:v>
      </x:c>
      <x:c r="AL46" s="12" t="n">
        <x:f>IF(AL8=$E$72,AL36,0)</x:f>
        <x:v>0</x:v>
      </x:c>
      <x:c r="AM46" s="12" t="n">
        <x:f>IF(AM8=$E$72,AM36,0)</x:f>
        <x:v>0</x:v>
      </x:c>
      <x:c r="AN46" s="12" t="n">
        <x:f>IF(AN8=$E$72,AN36,0)</x:f>
        <x:v>0</x:v>
      </x:c>
      <x:c r="AO46" s="1"/>
    </x:row>
    <x:row r="47" ht="23" customHeight="1">
      <x:c r="A47" s="1"/>
      <x:c r="B47" s="1"/>
      <x:c r="C47" s="1" t="str">
        <x:v>Net exit cash</x:v>
      </x:c>
      <x:c r="D47" s="1"/>
      <x:c r="E47" s="12" t="n">
        <x:f>0</x:f>
        <x:v>0</x:v>
      </x:c>
      <x:c r="F47" s="12" t="n">
        <x:f>F44-F45+F46</x:f>
        <x:v>0</x:v>
      </x:c>
      <x:c r="G47" s="12" t="n">
        <x:f>G44-G45+G46</x:f>
        <x:v>0</x:v>
      </x:c>
      <x:c r="H47" s="12" t="n">
        <x:f>H44-H45+H46</x:f>
        <x:v>0</x:v>
      </x:c>
      <x:c r="I47" s="12" t="n">
        <x:f>I44-I45+I46</x:f>
        <x:v>0</x:v>
      </x:c>
      <x:c r="J47" s="12" t="n">
        <x:f>J44-J45+J46</x:f>
        <x:v>0</x:v>
      </x:c>
      <x:c r="K47" s="12" t="n">
        <x:f>K44-K45+K46</x:f>
        <x:v>0</x:v>
      </x:c>
      <x:c r="L47" s="12" t="n">
        <x:f>L44-L45+L46</x:f>
        <x:v>0</x:v>
      </x:c>
      <x:c r="M47" s="12" t="n">
        <x:f>M44-M45+M46</x:f>
        <x:v>0</x:v>
      </x:c>
      <x:c r="N47" s="12" t="n">
        <x:f>N44-N45+N46</x:f>
        <x:v>0</x:v>
      </x:c>
      <x:c r="O47" s="12" t="n">
        <x:f>O44-O45+O46</x:f>
        <x:v>0</x:v>
      </x:c>
      <x:c r="P47" s="12" t="n">
        <x:f>P44-P45+P46</x:f>
        <x:v>0</x:v>
      </x:c>
      <x:c r="Q47" s="12" t="n">
        <x:f>Q44-Q45+Q46</x:f>
        <x:v>0</x:v>
      </x:c>
      <x:c r="R47" s="12" t="n">
        <x:f>R44-R45+R46</x:f>
        <x:v>0</x:v>
      </x:c>
      <x:c r="S47" s="12" t="n">
        <x:f>S44-S45+S46</x:f>
        <x:v>0</x:v>
      </x:c>
      <x:c r="T47" s="12" t="n">
        <x:f>T44-T45+T46</x:f>
        <x:v>0</x:v>
      </x:c>
      <x:c r="U47" s="12" t="n">
        <x:f>U44-U45+U46</x:f>
        <x:v>890648.1650674389</x:v>
      </x:c>
      <x:c r="V47" s="12" t="n">
        <x:f>V44-V45+V46</x:f>
        <x:v>0</x:v>
      </x:c>
      <x:c r="W47" s="12" t="n">
        <x:f>W44-W45+W46</x:f>
        <x:v>0</x:v>
      </x:c>
      <x:c r="X47" s="12" t="n">
        <x:f>X44-X45+X46</x:f>
        <x:v>0</x:v>
      </x:c>
      <x:c r="Y47" s="12" t="n">
        <x:f>Y44-Y45+Y46</x:f>
        <x:v>0</x:v>
      </x:c>
      <x:c r="Z47" s="12" t="n">
        <x:f>Z44-Z45+Z46</x:f>
        <x:v>0</x:v>
      </x:c>
      <x:c r="AA47" s="12" t="n">
        <x:f>AA44-AA45+AA46</x:f>
        <x:v>0</x:v>
      </x:c>
      <x:c r="AB47" s="12" t="n">
        <x:f>AB44-AB45+AB46</x:f>
        <x:v>0</x:v>
      </x:c>
      <x:c r="AC47" s="12" t="n">
        <x:f>AC44-AC45+AC46</x:f>
        <x:v>0</x:v>
      </x:c>
      <x:c r="AD47" s="12" t="n">
        <x:f>AD44-AD45+AD46</x:f>
        <x:v>0</x:v>
      </x:c>
      <x:c r="AE47" s="12" t="n">
        <x:f>AE44-AE45+AE46</x:f>
        <x:v>0</x:v>
      </x:c>
      <x:c r="AF47" s="12" t="n">
        <x:f>AF44-AF45+AF46</x:f>
        <x:v>0</x:v>
      </x:c>
      <x:c r="AG47" s="12" t="n">
        <x:f>AG44-AG45+AG46</x:f>
        <x:v>0</x:v>
      </x:c>
      <x:c r="AH47" s="12" t="n">
        <x:f>AH44-AH45+AH46</x:f>
        <x:v>0</x:v>
      </x:c>
      <x:c r="AI47" s="12" t="n">
        <x:f>AI44-AI45+AI46</x:f>
        <x:v>0</x:v>
      </x:c>
      <x:c r="AJ47" s="12" t="n">
        <x:f>AJ44-AJ45+AJ46</x:f>
        <x:v>0</x:v>
      </x:c>
      <x:c r="AK47" s="12" t="n">
        <x:f>AK44-AK45+AK46</x:f>
        <x:v>0</x:v>
      </x:c>
      <x:c r="AL47" s="12" t="n">
        <x:f>AL44-AL45+AL46</x:f>
        <x:v>0</x:v>
      </x:c>
      <x:c r="AM47" s="12" t="n">
        <x:f>AM44-AM45+AM46</x:f>
        <x:v>0</x:v>
      </x:c>
      <x:c r="AN47" s="12" t="n">
        <x:f>AN44-AN45+AN46</x:f>
        <x:v>0</x:v>
      </x:c>
      <x:c r="AO47" s="1"/>
    </x:row>
    <x:row r="48" ht="23" customHeight="1">
      <x:c r="A48" s="1"/>
      <x:c r="B48" s="1"/>
      <x:c r="C48" s="1" t="str">
        <x:v>Unlevered project cash flow</x:v>
      </x:c>
      <x:c r="D48" s="1"/>
      <x:c r="E48" s="12" t="n">
        <x:f>-$E$66</x:f>
        <x:v>-52500000</x:v>
      </x:c>
      <x:c r="F48" s="12" t="n">
        <x:f>F50+F47</x:f>
        <x:v>0</x:v>
      </x:c>
      <x:c r="G48" s="12" t="n">
        <x:f>G50+G47</x:f>
        <x:v>1437760</x:v>
      </x:c>
      <x:c r="H48" s="12" t="n">
        <x:f>H50+H47</x:f>
        <x:v>3079440</x:v>
      </x:c>
      <x:c r="I48" s="12" t="n">
        <x:f>I50+I47</x:f>
        <x:v>4404750</x:v>
      </x:c>
      <x:c r="J48" s="12" t="n">
        <x:f>J50+J47</x:f>
        <x:v>5578766.880000002</x:v>
      </x:c>
      <x:c r="K48" s="12" t="n">
        <x:f>K50+K47</x:f>
        <x:v>6482846.832</x:v>
      </x:c>
      <x:c r="L48" s="12" t="n">
        <x:f>L50+L47</x:f>
        <x:v>6765425.29824</x:v>
      </x:c>
      <x:c r="M48" s="12" t="n">
        <x:f>M50+M47</x:f>
        <x:v>6988709.404204801</x:v>
      </x:c>
      <x:c r="N48" s="12" t="n">
        <x:f>N50+N47</x:f>
        <x:v>7216459.192288896</x:v>
      </x:c>
      <x:c r="O48" s="12" t="n">
        <x:f>O50+O47</x:f>
        <x:v>7448763.976134676</x:v>
      </x:c>
      <x:c r="P48" s="12" t="n">
        <x:f>P50+P47</x:f>
        <x:v>7685714.85565737</x:v>
      </x:c>
      <x:c r="Q48" s="12" t="n">
        <x:f>Q50+Q47</x:f>
        <x:v>7927404.752770517</x:v>
      </x:c>
      <x:c r="R48" s="12" t="n">
        <x:f>R50+R47</x:f>
        <x:v>8173928.447825927</x:v>
      </x:c>
      <x:c r="S48" s="12" t="n">
        <x:f>S50+S47</x:f>
        <x:v>8425382.616782445</x:v>
      </x:c>
      <x:c r="T48" s="12" t="n">
        <x:f>T50+T47</x:f>
        <x:v>8681865.869118096</x:v>
      </x:c>
      <x:c r="U48" s="12" t="n">
        <x:f>U50+U47</x:f>
        <x:v>9834126.951567894</x:v>
      </x:c>
      <x:c r="V48" s="12" t="n">
        <x:f>V50+V47</x:f>
        <x:v>0</x:v>
      </x:c>
      <x:c r="W48" s="12" t="n">
        <x:f>W50+W47</x:f>
        <x:v>0</x:v>
      </x:c>
      <x:c r="X48" s="12" t="n">
        <x:f>X50+X47</x:f>
        <x:v>0</x:v>
      </x:c>
      <x:c r="Y48" s="12" t="n">
        <x:f>Y50+Y47</x:f>
        <x:v>0</x:v>
      </x:c>
      <x:c r="Z48" s="12" t="n">
        <x:f>Z50+Z47</x:f>
        <x:v>0</x:v>
      </x:c>
      <x:c r="AA48" s="12" t="n">
        <x:f>AA50+AA47</x:f>
        <x:v>0</x:v>
      </x:c>
      <x:c r="AB48" s="12" t="n">
        <x:f>AB50+AB47</x:f>
        <x:v>0</x:v>
      </x:c>
      <x:c r="AC48" s="12" t="n">
        <x:f>AC50+AC47</x:f>
        <x:v>0</x:v>
      </x:c>
      <x:c r="AD48" s="12" t="n">
        <x:f>AD50+AD47</x:f>
        <x:v>0</x:v>
      </x:c>
      <x:c r="AE48" s="12" t="n">
        <x:f>AE50+AE47</x:f>
        <x:v>0</x:v>
      </x:c>
      <x:c r="AF48" s="12" t="n">
        <x:f>AF50+AF47</x:f>
        <x:v>0</x:v>
      </x:c>
      <x:c r="AG48" s="12" t="n">
        <x:f>AG50+AG47</x:f>
        <x:v>0</x:v>
      </x:c>
      <x:c r="AH48" s="12" t="n">
        <x:f>AH50+AH47</x:f>
        <x:v>0</x:v>
      </x:c>
      <x:c r="AI48" s="12" t="n">
        <x:f>AI50+AI47</x:f>
        <x:v>0</x:v>
      </x:c>
      <x:c r="AJ48" s="12" t="n">
        <x:f>AJ50+AJ47</x:f>
        <x:v>0</x:v>
      </x:c>
      <x:c r="AK48" s="12" t="n">
        <x:f>AK50+AK47</x:f>
        <x:v>0</x:v>
      </x:c>
      <x:c r="AL48" s="12" t="n">
        <x:f>AL50+AL47</x:f>
        <x:v>0</x:v>
      </x:c>
      <x:c r="AM48" s="12" t="n">
        <x:f>AM50+AM47</x:f>
        <x:v>0</x:v>
      </x:c>
      <x:c r="AN48" s="12" t="n">
        <x:f>AN50+AN47</x:f>
        <x:v>0</x:v>
      </x:c>
      <x:c r="AO48" s="1"/>
    </x:row>
    <x:row r="49" ht="23" customHeight="1">
      <x:c r="A49" s="1"/>
      <x:c r="B49" s="1"/>
      <x:c r="C49" s="1" t="str">
        <x:v>Equity cash flow</x:v>
      </x:c>
      <x:c r="D49" s="1"/>
      <x:c r="E49" s="12" t="n">
        <x:f>-$E$66-$E$61+$E$67</x:f>
        <x:v>-31920000</x:v>
      </x:c>
      <x:c r="F49" s="12" t="n">
        <x:f>F39-F31-F24+F28+F47</x:f>
        <x:v>-1470000.0000000002</x:v>
      </x:c>
      <x:c r="G49" s="12" t="n">
        <x:f>G39-G31-G24+G28+G47</x:f>
        <x:v>-32240.000000000233</x:v>
      </x:c>
      <x:c r="H49" s="12" t="n">
        <x:f>H39-H31-H24+H28+H47</x:f>
        <x:v>-507163.33333333395</x:v>
      </x:c>
      <x:c r="I49" s="12" t="n">
        <x:f>I39-I31-I24+I28+I47</x:f>
        <x:v>1091416.6666666665</x:v>
      </x:c>
      <x:c r="J49" s="12" t="n">
        <x:f>J39-J31-J24+J28+J47</x:f>
        <x:v>2387933.546666668</x:v>
      </x:c>
      <x:c r="K49" s="12" t="n">
        <x:f>K39-K31-K24+K28+K47</x:f>
        <x:v>3414513.498666667</x:v>
      </x:c>
      <x:c r="L49" s="12" t="n">
        <x:f>L39-L31-L24+L28+L47</x:f>
        <x:v>3819591.9649066664</x:v>
      </x:c>
      <x:c r="M49" s="12" t="n">
        <x:f>M39-M31-M24+M28+M47</x:f>
        <x:v>4165376.070871467</x:v>
      </x:c>
      <x:c r="N49" s="12" t="n">
        <x:f>N39-N31-N24+N28+N47</x:f>
        <x:v>4515625.858955562</x:v>
      </x:c>
      <x:c r="O49" s="12" t="n">
        <x:f>O39-O31-O24+O28+O47</x:f>
        <x:v>4870430.642801342</x:v>
      </x:c>
      <x:c r="P49" s="12" t="n">
        <x:f>P39-P31-P24+P28+P47</x:f>
        <x:v>5229881.522324039</x:v>
      </x:c>
      <x:c r="Q49" s="12" t="n">
        <x:f>Q39-Q31-Q24+Q28+Q47</x:f>
        <x:v>7927404.752770517</x:v>
      </x:c>
      <x:c r="R49" s="12" t="n">
        <x:f>R39-R31-R24+R28+R47</x:f>
        <x:v>8173928.447825927</x:v>
      </x:c>
      <x:c r="S49" s="12" t="n">
        <x:f>S39-S31-S24+S28+S47</x:f>
        <x:v>8425382.616782445</x:v>
      </x:c>
      <x:c r="T49" s="12" t="n">
        <x:f>T39-T31-T24+T28+T47</x:f>
        <x:v>8681865.869118096</x:v>
      </x:c>
      <x:c r="U49" s="12" t="n">
        <x:f>U39-U31-U24+U28+U47</x:f>
        <x:v>9834126.951567894</x:v>
      </x:c>
      <x:c r="V49" s="12" t="n">
        <x:f>V39-V31-V24+V28+V47</x:f>
        <x:v>0</x:v>
      </x:c>
      <x:c r="W49" s="12" t="n">
        <x:f>W39-W31-W24+W28+W47</x:f>
        <x:v>0</x:v>
      </x:c>
      <x:c r="X49" s="12" t="n">
        <x:f>X39-X31-X24+X28+X47</x:f>
        <x:v>0</x:v>
      </x:c>
      <x:c r="Y49" s="12" t="n">
        <x:f>Y39-Y31-Y24+Y28+Y47</x:f>
        <x:v>0</x:v>
      </x:c>
      <x:c r="Z49" s="12" t="n">
        <x:f>Z39-Z31-Z24+Z28+Z47</x:f>
        <x:v>0</x:v>
      </x:c>
      <x:c r="AA49" s="12" t="n">
        <x:f>AA39-AA31-AA24+AA28+AA47</x:f>
        <x:v>0</x:v>
      </x:c>
      <x:c r="AB49" s="12" t="n">
        <x:f>AB39-AB31-AB24+AB28+AB47</x:f>
        <x:v>0</x:v>
      </x:c>
      <x:c r="AC49" s="12" t="n">
        <x:f>AC39-AC31-AC24+AC28+AC47</x:f>
        <x:v>0</x:v>
      </x:c>
      <x:c r="AD49" s="12" t="n">
        <x:f>AD39-AD31-AD24+AD28+AD47</x:f>
        <x:v>0</x:v>
      </x:c>
      <x:c r="AE49" s="12" t="n">
        <x:f>AE39-AE31-AE24+AE28+AE47</x:f>
        <x:v>0</x:v>
      </x:c>
      <x:c r="AF49" s="12" t="n">
        <x:f>AF39-AF31-AF24+AF28+AF47</x:f>
        <x:v>0</x:v>
      </x:c>
      <x:c r="AG49" s="12" t="n">
        <x:f>AG39-AG31-AG24+AG28+AG47</x:f>
        <x:v>0</x:v>
      </x:c>
      <x:c r="AH49" s="12" t="n">
        <x:f>AH39-AH31-AH24+AH28+AH47</x:f>
        <x:v>0</x:v>
      </x:c>
      <x:c r="AI49" s="12" t="n">
        <x:f>AI39-AI31-AI24+AI28+AI47</x:f>
        <x:v>0</x:v>
      </x:c>
      <x:c r="AJ49" s="12" t="n">
        <x:f>AJ39-AJ31-AJ24+AJ28+AJ47</x:f>
        <x:v>0</x:v>
      </x:c>
      <x:c r="AK49" s="12" t="n">
        <x:f>AK39-AK31-AK24+AK28+AK47</x:f>
        <x:v>0</x:v>
      </x:c>
      <x:c r="AL49" s="12" t="n">
        <x:f>AL39-AL31-AL24+AL28+AL47</x:f>
        <x:v>0</x:v>
      </x:c>
      <x:c r="AM49" s="12" t="n">
        <x:f>AM39-AM31-AM24+AM28+AM47</x:f>
        <x:v>0</x:v>
      </x:c>
      <x:c r="AN49" s="12" t="n">
        <x:f>AN39-AN31-AN24+AN28+AN47</x:f>
        <x:v>0</x:v>
      </x:c>
      <x:c r="AO49" s="1"/>
    </x:row>
    <x:row r="50" ht="23" customHeight="1">
      <x:c r="A50" s="1"/>
      <x:c r="B50" s="1"/>
      <x:c r="C50" s="1" t="str">
        <x:v>Core cash flow (excludes exit)</x:v>
      </x:c>
      <x:c r="D50" s="1"/>
      <x:c r="E50" s="12" t="n">
        <x:f>-$E$66</x:f>
        <x:v>-52500000</x:v>
      </x:c>
      <x:c r="F50" s="12" t="n">
        <x:f>F21-F26-F37-F38-F24</x:f>
        <x:v>0</x:v>
      </x:c>
      <x:c r="G50" s="12" t="n">
        <x:f>G21-G26-G37-G38-G24</x:f>
        <x:v>1437760</x:v>
      </x:c>
      <x:c r="H50" s="12" t="n">
        <x:f>H21-H26-H37-H38-H24</x:f>
        <x:v>3079440</x:v>
      </x:c>
      <x:c r="I50" s="12" t="n">
        <x:f>I21-I26-I37-I38-I24</x:f>
        <x:v>4404750</x:v>
      </x:c>
      <x:c r="J50" s="12" t="n">
        <x:f>J21-J26-J37-J38-J24</x:f>
        <x:v>5578766.880000002</x:v>
      </x:c>
      <x:c r="K50" s="12" t="n">
        <x:f>K21-K26-K37-K38-K24</x:f>
        <x:v>6482846.832</x:v>
      </x:c>
      <x:c r="L50" s="12" t="n">
        <x:f>L21-L26-L37-L38-L24</x:f>
        <x:v>6765425.29824</x:v>
      </x:c>
      <x:c r="M50" s="12" t="n">
        <x:f>M21-M26-M37-M38-M24</x:f>
        <x:v>6988709.404204801</x:v>
      </x:c>
      <x:c r="N50" s="12" t="n">
        <x:f>N21-N26-N37-N38-N24</x:f>
        <x:v>7216459.192288896</x:v>
      </x:c>
      <x:c r="O50" s="12" t="n">
        <x:f>O21-O26-O37-O38-O24</x:f>
        <x:v>7448763.976134676</x:v>
      </x:c>
      <x:c r="P50" s="12" t="n">
        <x:f>P21-P26-P37-P38-P24</x:f>
        <x:v>7685714.85565737</x:v>
      </x:c>
      <x:c r="Q50" s="12" t="n">
        <x:f>Q21-Q26-Q37-Q38-Q24</x:f>
        <x:v>7927404.752770517</x:v>
      </x:c>
      <x:c r="R50" s="12" t="n">
        <x:f>R21-R26-R37-R38-R24</x:f>
        <x:v>8173928.447825927</x:v>
      </x:c>
      <x:c r="S50" s="12" t="n">
        <x:f>S21-S26-S37-S38-S24</x:f>
        <x:v>8425382.616782445</x:v>
      </x:c>
      <x:c r="T50" s="12" t="n">
        <x:f>T21-T26-T37-T38-T24</x:f>
        <x:v>8681865.869118096</x:v>
      </x:c>
      <x:c r="U50" s="12" t="n">
        <x:f>U21-U26-U37-U38-U24</x:f>
        <x:v>8943478.786500456</x:v>
      </x:c>
      <x:c r="V50" s="12" t="n">
        <x:f>V21-V26-V37-V38-V24</x:f>
        <x:v>0</x:v>
      </x:c>
      <x:c r="W50" s="12" t="n">
        <x:f>W21-W26-W37-W38-W24</x:f>
        <x:v>0</x:v>
      </x:c>
      <x:c r="X50" s="12" t="n">
        <x:f>X21-X26-X37-X38-X24</x:f>
        <x:v>0</x:v>
      </x:c>
      <x:c r="Y50" s="12" t="n">
        <x:f>Y21-Y26-Y37-Y38-Y24</x:f>
        <x:v>0</x:v>
      </x:c>
      <x:c r="Z50" s="12" t="n">
        <x:f>Z21-Z26-Z37-Z38-Z24</x:f>
        <x:v>0</x:v>
      </x:c>
      <x:c r="AA50" s="12" t="n">
        <x:f>AA21-AA26-AA37-AA38-AA24</x:f>
        <x:v>0</x:v>
      </x:c>
      <x:c r="AB50" s="12" t="n">
        <x:f>AB21-AB26-AB37-AB38-AB24</x:f>
        <x:v>0</x:v>
      </x:c>
      <x:c r="AC50" s="12" t="n">
        <x:f>AC21-AC26-AC37-AC38-AC24</x:f>
        <x:v>0</x:v>
      </x:c>
      <x:c r="AD50" s="12" t="n">
        <x:f>AD21-AD26-AD37-AD38-AD24</x:f>
        <x:v>0</x:v>
      </x:c>
      <x:c r="AE50" s="12" t="n">
        <x:f>AE21-AE26-AE37-AE38-AE24</x:f>
        <x:v>0</x:v>
      </x:c>
      <x:c r="AF50" s="12" t="n">
        <x:f>AF21-AF26-AF37-AF38-AF24</x:f>
        <x:v>0</x:v>
      </x:c>
      <x:c r="AG50" s="12" t="n">
        <x:f>AG21-AG26-AG37-AG38-AG24</x:f>
        <x:v>0</x:v>
      </x:c>
      <x:c r="AH50" s="12" t="n">
        <x:f>AH21-AH26-AH37-AH38-AH24</x:f>
        <x:v>0</x:v>
      </x:c>
      <x:c r="AI50" s="12" t="n">
        <x:f>AI21-AI26-AI37-AI38-AI24</x:f>
        <x:v>0</x:v>
      </x:c>
      <x:c r="AJ50" s="12" t="n">
        <x:f>AJ21-AJ26-AJ37-AJ38-AJ24</x:f>
        <x:v>0</x:v>
      </x:c>
      <x:c r="AK50" s="12" t="n">
        <x:f>AK21-AK26-AK37-AK38-AK24</x:f>
        <x:v>0</x:v>
      </x:c>
      <x:c r="AL50" s="12" t="n">
        <x:f>AL21-AL26-AL37-AL38-AL24</x:f>
        <x:v>0</x:v>
      </x:c>
      <x:c r="AM50" s="12" t="n">
        <x:f>AM21-AM26-AM37-AM38-AM24</x:f>
        <x:v>0</x:v>
      </x:c>
      <x:c r="AN50" s="12" t="n">
        <x:f>AN21-AN26-AN37-AN38-AN24</x:f>
        <x:v>0</x:v>
      </x:c>
      <x:c r="AO50" s="1"/>
    </x:row>
    <x:row r="51" ht="23" customHeight="1">
      <x:c r="A51" s="1"/>
      <x:c r="B51" s="1"/>
      <x:c r="C51" s="1" t="str">
        <x:v>Cumulative core cash</x:v>
      </x:c>
      <x:c r="D51" s="1"/>
      <x:c r="E51" s="12" t="n">
        <x:f>-$E$66</x:f>
        <x:v>-52500000</x:v>
      </x:c>
      <x:c r="F51" s="12" t="n">
        <x:f>E51+F50</x:f>
        <x:v>-52500000</x:v>
      </x:c>
      <x:c r="G51" s="12" t="n">
        <x:f>F51+G50</x:f>
        <x:v>-51062240</x:v>
      </x:c>
      <x:c r="H51" s="12" t="n">
        <x:f>G51+H50</x:f>
        <x:v>-47982800</x:v>
      </x:c>
      <x:c r="I51" s="12" t="n">
        <x:f>H51+I50</x:f>
        <x:v>-43578050</x:v>
      </x:c>
      <x:c r="J51" s="12" t="n">
        <x:f>I51+J50</x:f>
        <x:v>-37999283.12</x:v>
      </x:c>
      <x:c r="K51" s="12" t="n">
        <x:f>J51+K50</x:f>
        <x:v>-31516436.287999995</x:v>
      </x:c>
      <x:c r="L51" s="12" t="n">
        <x:f>K51+L50</x:f>
        <x:v>-24751010.989759997</x:v>
      </x:c>
      <x:c r="M51" s="12" t="n">
        <x:f>L51+M50</x:f>
        <x:v>-17762301.585555196</x:v>
      </x:c>
      <x:c r="N51" s="12" t="n">
        <x:f>M51+N50</x:f>
        <x:v>-10545842.3932663</x:v>
      </x:c>
      <x:c r="O51" s="12" t="n">
        <x:f>N51+O50</x:f>
        <x:v>-3097078.417131624</x:v>
      </x:c>
      <x:c r="P51" s="12" t="n">
        <x:f>O51+P50</x:f>
        <x:v>4588636.438525746</x:v>
      </x:c>
      <x:c r="Q51" s="12" t="n">
        <x:f>P51+Q50</x:f>
        <x:v>12516041.191296263</x:v>
      </x:c>
      <x:c r="R51" s="12" t="n">
        <x:f>Q51+R50</x:f>
        <x:v>20689969.639122188</x:v>
      </x:c>
      <x:c r="S51" s="12" t="n">
        <x:f>R51+S50</x:f>
        <x:v>29115352.255904634</x:v>
      </x:c>
      <x:c r="T51" s="12" t="n">
        <x:f>S51+T50</x:f>
        <x:v>37797218.12502273</x:v>
      </x:c>
      <x:c r="U51" s="12" t="n">
        <x:f>T51+U50</x:f>
        <x:v>46740696.911523186</x:v>
      </x:c>
      <x:c r="V51" s="12" t="n">
        <x:f>U51+V50</x:f>
        <x:v>46740696.911523186</x:v>
      </x:c>
      <x:c r="W51" s="12" t="n">
        <x:f>V51+W50</x:f>
        <x:v>46740696.911523186</x:v>
      </x:c>
      <x:c r="X51" s="12" t="n">
        <x:f>W51+X50</x:f>
        <x:v>46740696.911523186</x:v>
      </x:c>
      <x:c r="Y51" s="12" t="n">
        <x:f>X51+Y50</x:f>
        <x:v>46740696.911523186</x:v>
      </x:c>
      <x:c r="Z51" s="12" t="n">
        <x:f>Y51+Z50</x:f>
        <x:v>46740696.911523186</x:v>
      </x:c>
      <x:c r="AA51" s="12" t="n">
        <x:f>Z51+AA50</x:f>
        <x:v>46740696.911523186</x:v>
      </x:c>
      <x:c r="AB51" s="12" t="n">
        <x:f>AA51+AB50</x:f>
        <x:v>46740696.911523186</x:v>
      </x:c>
      <x:c r="AC51" s="12" t="n">
        <x:f>AB51+AC50</x:f>
        <x:v>46740696.911523186</x:v>
      </x:c>
      <x:c r="AD51" s="12" t="n">
        <x:f>AC51+AD50</x:f>
        <x:v>46740696.911523186</x:v>
      </x:c>
      <x:c r="AE51" s="12" t="n">
        <x:f>AD51+AE50</x:f>
        <x:v>46740696.911523186</x:v>
      </x:c>
      <x:c r="AF51" s="12" t="n">
        <x:f>AE51+AF50</x:f>
        <x:v>46740696.911523186</x:v>
      </x:c>
      <x:c r="AG51" s="12" t="n">
        <x:f>AF51+AG50</x:f>
        <x:v>46740696.911523186</x:v>
      </x:c>
      <x:c r="AH51" s="12" t="n">
        <x:f>AG51+AH50</x:f>
        <x:v>46740696.911523186</x:v>
      </x:c>
      <x:c r="AI51" s="12" t="n">
        <x:f>AH51+AI50</x:f>
        <x:v>46740696.911523186</x:v>
      </x:c>
      <x:c r="AJ51" s="12" t="n">
        <x:f>AI51+AJ50</x:f>
        <x:v>46740696.911523186</x:v>
      </x:c>
      <x:c r="AK51" s="12" t="n">
        <x:f>AJ51+AK50</x:f>
        <x:v>46740696.911523186</x:v>
      </x:c>
      <x:c r="AL51" s="12" t="n">
        <x:f>AK51+AL50</x:f>
        <x:v>46740696.911523186</x:v>
      </x:c>
      <x:c r="AM51" s="12" t="n">
        <x:f>AL51+AM50</x:f>
        <x:v>46740696.911523186</x:v>
      </x:c>
      <x:c r="AN51" s="12" t="n">
        <x:f>AM51+AN50</x:f>
        <x:v>46740696.911523186</x:v>
      </x:c>
      <x:c r="AO51" s="1"/>
    </x:row>
    <x:row r="52" ht="23" customHeight="1">
      <x:c r="A52" s="1"/>
      <x:c r="B52" s="1"/>
      <x:c r="C52" s="1" t="str">
        <x:v>Payback crossing candidate</x:v>
      </x:c>
      <x:c r="D52" s="1"/>
      <x:c r="E52" s="12" t="n">
        <x:f>999</x:f>
        <x:v>999</x:v>
      </x:c>
      <x:c r="F52" s="12" t="n">
        <x:f>IF(AND(E51&lt;0,F51&gt;=0,F50&gt;0),F8-1-E51/F50,999)</x:f>
        <x:v>999</x:v>
      </x:c>
      <x:c r="G52" s="12" t="n">
        <x:f>IF(AND(F51&lt;0,G51&gt;=0,G50&gt;0),G8-1-F51/G50,999)</x:f>
        <x:v>999</x:v>
      </x:c>
      <x:c r="H52" s="12" t="n">
        <x:f>IF(AND(G51&lt;0,H51&gt;=0,H50&gt;0),H8-1-G51/H50,999)</x:f>
        <x:v>999</x:v>
      </x:c>
      <x:c r="I52" s="12" t="n">
        <x:f>IF(AND(H51&lt;0,I51&gt;=0,I50&gt;0),I8-1-H51/I50,999)</x:f>
        <x:v>999</x:v>
      </x:c>
      <x:c r="J52" s="12" t="n">
        <x:f>IF(AND(I51&lt;0,J51&gt;=0,J50&gt;0),J8-1-I51/J50,999)</x:f>
        <x:v>999</x:v>
      </x:c>
      <x:c r="K52" s="12" t="n">
        <x:f>IF(AND(J51&lt;0,K51&gt;=0,K50&gt;0),K8-1-J51/K50,999)</x:f>
        <x:v>999</x:v>
      </x:c>
      <x:c r="L52" s="12" t="n">
        <x:f>IF(AND(K51&lt;0,L51&gt;=0,L50&gt;0),L8-1-K51/L50,999)</x:f>
        <x:v>999</x:v>
      </x:c>
      <x:c r="M52" s="12" t="n">
        <x:f>IF(AND(L51&lt;0,M51&gt;=0,M50&gt;0),M8-1-L51/M50,999)</x:f>
        <x:v>999</x:v>
      </x:c>
      <x:c r="N52" s="12" t="n">
        <x:f>IF(AND(M51&lt;0,N51&gt;=0,N50&gt;0),N8-1-M51/N50,999)</x:f>
        <x:v>999</x:v>
      </x:c>
      <x:c r="O52" s="12" t="n">
        <x:f>IF(AND(N51&lt;0,O51&gt;=0,O50&gt;0),O8-1-N51/O50,999)</x:f>
        <x:v>999</x:v>
      </x:c>
      <x:c r="P52" s="12" t="n">
        <x:f>IF(AND(O51&lt;0,P51&gt;=0,P50&gt;0),P8-1-O51/P50,999)</x:f>
        <x:v>10.402965563424708</x:v>
      </x:c>
      <x:c r="Q52" s="12" t="n">
        <x:f>IF(AND(P51&lt;0,Q51&gt;=0,Q50&gt;0),Q8-1-P51/Q50,999)</x:f>
        <x:v>999</x:v>
      </x:c>
      <x:c r="R52" s="12" t="n">
        <x:f>IF(AND(Q51&lt;0,R51&gt;=0,R50&gt;0),R8-1-Q51/R50,999)</x:f>
        <x:v>999</x:v>
      </x:c>
      <x:c r="S52" s="12" t="n">
        <x:f>IF(AND(R51&lt;0,S51&gt;=0,S50&gt;0),S8-1-R51/S50,999)</x:f>
        <x:v>999</x:v>
      </x:c>
      <x:c r="T52" s="12" t="n">
        <x:f>IF(AND(S51&lt;0,T51&gt;=0,T50&gt;0),T8-1-S51/T50,999)</x:f>
        <x:v>999</x:v>
      </x:c>
      <x:c r="U52" s="12" t="n">
        <x:f>IF(AND(T51&lt;0,U51&gt;=0,U50&gt;0),U8-1-T51/U50,999)</x:f>
        <x:v>999</x:v>
      </x:c>
      <x:c r="V52" s="12" t="n">
        <x:f>IF(AND(U51&lt;0,V51&gt;=0,V50&gt;0),V8-1-U51/V50,999)</x:f>
        <x:v>999</x:v>
      </x:c>
      <x:c r="W52" s="12" t="n">
        <x:f>IF(AND(V51&lt;0,W51&gt;=0,W50&gt;0),W8-1-V51/W50,999)</x:f>
        <x:v>999</x:v>
      </x:c>
      <x:c r="X52" s="12" t="n">
        <x:f>IF(AND(W51&lt;0,X51&gt;=0,X50&gt;0),X8-1-W51/X50,999)</x:f>
        <x:v>999</x:v>
      </x:c>
      <x:c r="Y52" s="12" t="n">
        <x:f>IF(AND(X51&lt;0,Y51&gt;=0,Y50&gt;0),Y8-1-X51/Y50,999)</x:f>
        <x:v>999</x:v>
      </x:c>
      <x:c r="Z52" s="12" t="n">
        <x:f>IF(AND(Y51&lt;0,Z51&gt;=0,Z50&gt;0),Z8-1-Y51/Z50,999)</x:f>
        <x:v>999</x:v>
      </x:c>
      <x:c r="AA52" s="12" t="n">
        <x:f>IF(AND(Z51&lt;0,AA51&gt;=0,AA50&gt;0),AA8-1-Z51/AA50,999)</x:f>
        <x:v>999</x:v>
      </x:c>
      <x:c r="AB52" s="12" t="n">
        <x:f>IF(AND(AA51&lt;0,AB51&gt;=0,AB50&gt;0),AB8-1-AA51/AB50,999)</x:f>
        <x:v>999</x:v>
      </x:c>
      <x:c r="AC52" s="12" t="n">
        <x:f>IF(AND(AB51&lt;0,AC51&gt;=0,AC50&gt;0),AC8-1-AB51/AC50,999)</x:f>
        <x:v>999</x:v>
      </x:c>
      <x:c r="AD52" s="12" t="n">
        <x:f>IF(AND(AC51&lt;0,AD51&gt;=0,AD50&gt;0),AD8-1-AC51/AD50,999)</x:f>
        <x:v>999</x:v>
      </x:c>
      <x:c r="AE52" s="12" t="n">
        <x:f>IF(AND(AD51&lt;0,AE51&gt;=0,AE50&gt;0),AE8-1-AD51/AE50,999)</x:f>
        <x:v>999</x:v>
      </x:c>
      <x:c r="AF52" s="12" t="n">
        <x:f>IF(AND(AE51&lt;0,AF51&gt;=0,AF50&gt;0),AF8-1-AE51/AF50,999)</x:f>
        <x:v>999</x:v>
      </x:c>
      <x:c r="AG52" s="12" t="n">
        <x:f>IF(AND(AF51&lt;0,AG51&gt;=0,AG50&gt;0),AG8-1-AF51/AG50,999)</x:f>
        <x:v>999</x:v>
      </x:c>
      <x:c r="AH52" s="12" t="n">
        <x:f>IF(AND(AG51&lt;0,AH51&gt;=0,AH50&gt;0),AH8-1-AG51/AH50,999)</x:f>
        <x:v>999</x:v>
      </x:c>
      <x:c r="AI52" s="12" t="n">
        <x:f>IF(AND(AH51&lt;0,AI51&gt;=0,AI50&gt;0),AI8-1-AH51/AI50,999)</x:f>
        <x:v>999</x:v>
      </x:c>
      <x:c r="AJ52" s="12" t="n">
        <x:f>IF(AND(AI51&lt;0,AJ51&gt;=0,AJ50&gt;0),AJ8-1-AI51/AJ50,999)</x:f>
        <x:v>999</x:v>
      </x:c>
      <x:c r="AK52" s="12" t="n">
        <x:f>IF(AND(AJ51&lt;0,AK51&gt;=0,AK50&gt;0),AK8-1-AJ51/AK50,999)</x:f>
        <x:v>999</x:v>
      </x:c>
      <x:c r="AL52" s="12" t="n">
        <x:f>IF(AND(AK51&lt;0,AL51&gt;=0,AL50&gt;0),AL8-1-AK51/AL50,999)</x:f>
        <x:v>999</x:v>
      </x:c>
      <x:c r="AM52" s="12" t="n">
        <x:f>IF(AND(AL51&lt;0,AM51&gt;=0,AM50&gt;0),AM8-1-AL51/AM50,999)</x:f>
        <x:v>999</x:v>
      </x:c>
      <x:c r="AN52" s="12" t="n">
        <x:f>IF(AND(AM51&lt;0,AN51&gt;=0,AN50&gt;0),AN8-1-AM51/AN50,999)</x:f>
        <x:v>999</x:v>
      </x:c>
      <x:c r="AO52" s="1"/>
    </x:row>
    <x:row r="53" ht="23" customHeight="1">
      <x:c r="A53" s="1"/>
      <x:c r="B53" s="1"/>
      <x:c r="C53" s="1" t="str">
        <x:v>Operating funding shortfall</x:v>
      </x:c>
      <x:c r="D53" s="1"/>
      <x:c r="E53" s="12" t="n">
        <x:f>0</x:f>
        <x:v>0</x:v>
      </x:c>
      <x:c r="F53" s="12" t="n">
        <x:f>IF(F10=1,MAX(0,F31-F39),0)</x:f>
        <x:v>0</x:v>
      </x:c>
      <x:c r="G53" s="12" t="n">
        <x:f>IF(G10=1,MAX(0,G31-G39),0)</x:f>
        <x:v>32240.000000000233</x:v>
      </x:c>
      <x:c r="H53" s="12" t="n">
        <x:f>IF(H10=1,MAX(0,H31-H39),0)</x:f>
        <x:v>507163.33333333395</x:v>
      </x:c>
      <x:c r="I53" s="12" t="n">
        <x:f>IF(I10=1,MAX(0,I31-I39),0)</x:f>
        <x:v>0</x:v>
      </x:c>
      <x:c r="J53" s="12" t="n">
        <x:f>IF(J10=1,MAX(0,J31-J39),0)</x:f>
        <x:v>0</x:v>
      </x:c>
      <x:c r="K53" s="12" t="n">
        <x:f>IF(K10=1,MAX(0,K31-K39),0)</x:f>
        <x:v>0</x:v>
      </x:c>
      <x:c r="L53" s="12" t="n">
        <x:f>IF(L10=1,MAX(0,L31-L39),0)</x:f>
        <x:v>0</x:v>
      </x:c>
      <x:c r="M53" s="12" t="n">
        <x:f>IF(M10=1,MAX(0,M31-M39),0)</x:f>
        <x:v>0</x:v>
      </x:c>
      <x:c r="N53" s="12" t="n">
        <x:f>IF(N10=1,MAX(0,N31-N39),0)</x:f>
        <x:v>0</x:v>
      </x:c>
      <x:c r="O53" s="12" t="n">
        <x:f>IF(O10=1,MAX(0,O31-O39),0)</x:f>
        <x:v>0</x:v>
      </x:c>
      <x:c r="P53" s="12" t="n">
        <x:f>IF(P10=1,MAX(0,P31-P39),0)</x:f>
        <x:v>0</x:v>
      </x:c>
      <x:c r="Q53" s="12" t="n">
        <x:f>IF(Q10=1,MAX(0,Q31-Q39),0)</x:f>
        <x:v>0</x:v>
      </x:c>
      <x:c r="R53" s="12" t="n">
        <x:f>IF(R10=1,MAX(0,R31-R39),0)</x:f>
        <x:v>0</x:v>
      </x:c>
      <x:c r="S53" s="12" t="n">
        <x:f>IF(S10=1,MAX(0,S31-S39),0)</x:f>
        <x:v>0</x:v>
      </x:c>
      <x:c r="T53" s="12" t="n">
        <x:f>IF(T10=1,MAX(0,T31-T39),0)</x:f>
        <x:v>0</x:v>
      </x:c>
      <x:c r="U53" s="12" t="n">
        <x:f>IF(U10=1,MAX(0,U31-U39),0)</x:f>
        <x:v>0</x:v>
      </x:c>
      <x:c r="V53" s="12" t="n">
        <x:f>IF(V10=1,MAX(0,V31-V39),0)</x:f>
        <x:v>0</x:v>
      </x:c>
      <x:c r="W53" s="12" t="n">
        <x:f>IF(W10=1,MAX(0,W31-W39),0)</x:f>
        <x:v>0</x:v>
      </x:c>
      <x:c r="X53" s="12" t="n">
        <x:f>IF(X10=1,MAX(0,X31-X39),0)</x:f>
        <x:v>0</x:v>
      </x:c>
      <x:c r="Y53" s="12" t="n">
        <x:f>IF(Y10=1,MAX(0,Y31-Y39),0)</x:f>
        <x:v>0</x:v>
      </x:c>
      <x:c r="Z53" s="12" t="n">
        <x:f>IF(Z10=1,MAX(0,Z31-Z39),0)</x:f>
        <x:v>0</x:v>
      </x:c>
      <x:c r="AA53" s="12" t="n">
        <x:f>IF(AA10=1,MAX(0,AA31-AA39),0)</x:f>
        <x:v>0</x:v>
      </x:c>
      <x:c r="AB53" s="12" t="n">
        <x:f>IF(AB10=1,MAX(0,AB31-AB39),0)</x:f>
        <x:v>0</x:v>
      </x:c>
      <x:c r="AC53" s="12" t="n">
        <x:f>IF(AC10=1,MAX(0,AC31-AC39),0)</x:f>
        <x:v>0</x:v>
      </x:c>
      <x:c r="AD53" s="12" t="n">
        <x:f>IF(AD10=1,MAX(0,AD31-AD39),0)</x:f>
        <x:v>0</x:v>
      </x:c>
      <x:c r="AE53" s="12" t="n">
        <x:f>IF(AE10=1,MAX(0,AE31-AE39),0)</x:f>
        <x:v>0</x:v>
      </x:c>
      <x:c r="AF53" s="12" t="n">
        <x:f>IF(AF10=1,MAX(0,AF31-AF39),0)</x:f>
        <x:v>0</x:v>
      </x:c>
      <x:c r="AG53" s="12" t="n">
        <x:f>IF(AG10=1,MAX(0,AG31-AG39),0)</x:f>
        <x:v>0</x:v>
      </x:c>
      <x:c r="AH53" s="12" t="n">
        <x:f>IF(AH10=1,MAX(0,AH31-AH39),0)</x:f>
        <x:v>0</x:v>
      </x:c>
      <x:c r="AI53" s="12" t="n">
        <x:f>IF(AI10=1,MAX(0,AI31-AI39),0)</x:f>
        <x:v>0</x:v>
      </x:c>
      <x:c r="AJ53" s="12" t="n">
        <x:f>IF(AJ10=1,MAX(0,AJ31-AJ39),0)</x:f>
        <x:v>0</x:v>
      </x:c>
      <x:c r="AK53" s="12" t="n">
        <x:f>IF(AK10=1,MAX(0,AK31-AK39),0)</x:f>
        <x:v>0</x:v>
      </x:c>
      <x:c r="AL53" s="12" t="n">
        <x:f>IF(AL10=1,MAX(0,AL31-AL39),0)</x:f>
        <x:v>0</x:v>
      </x:c>
      <x:c r="AM53" s="12" t="n">
        <x:f>IF(AM10=1,MAX(0,AM31-AM39),0)</x:f>
        <x:v>0</x:v>
      </x:c>
      <x:c r="AN53" s="12" t="n">
        <x:f>IF(AN10=1,MAX(0,AN31-AN39),0)</x:f>
        <x:v>0</x:v>
      </x:c>
      <x:c r="AO53" s="1"/>
    </x:row>
    <x:row r="54" ht="23" customHeight="1">
      <x:c r="A54" s="1"/>
      <x:c r="B54" s="1"/>
      <x:c r="C54" s="1" t="str">
        <x:v>Nonconventional project flag</x:v>
      </x:c>
      <x:c r="D54" s="1"/>
      <x:c r="E54" s="12" t="n">
        <x:f>0</x:f>
        <x:v>0</x:v>
      </x:c>
      <x:c r="F54" s="12" t="n">
        <x:f>IF(AND(F48&lt;0,MAX($E48:E48)&gt;0),1,0)</x:f>
        <x:v>0</x:v>
      </x:c>
      <x:c r="G54" s="12" t="n">
        <x:f>IF(AND(G48&lt;0,MAX($E48:F48)&gt;0),1,0)</x:f>
        <x:v>0</x:v>
      </x:c>
      <x:c r="H54" s="12" t="n">
        <x:f>IF(AND(H48&lt;0,MAX($E48:G48)&gt;0),1,0)</x:f>
        <x:v>0</x:v>
      </x:c>
      <x:c r="I54" s="12" t="n">
        <x:f>IF(AND(I48&lt;0,MAX($E48:H48)&gt;0),1,0)</x:f>
        <x:v>0</x:v>
      </x:c>
      <x:c r="J54" s="12" t="n">
        <x:f>IF(AND(J48&lt;0,MAX($E48:I48)&gt;0),1,0)</x:f>
        <x:v>0</x:v>
      </x:c>
      <x:c r="K54" s="12" t="n">
        <x:f>IF(AND(K48&lt;0,MAX($E48:J48)&gt;0),1,0)</x:f>
        <x:v>0</x:v>
      </x:c>
      <x:c r="L54" s="12" t="n">
        <x:f>IF(AND(L48&lt;0,MAX($E48:K48)&gt;0),1,0)</x:f>
        <x:v>0</x:v>
      </x:c>
      <x:c r="M54" s="12" t="n">
        <x:f>IF(AND(M48&lt;0,MAX($E48:L48)&gt;0),1,0)</x:f>
        <x:v>0</x:v>
      </x:c>
      <x:c r="N54" s="12" t="n">
        <x:f>IF(AND(N48&lt;0,MAX($E48:M48)&gt;0),1,0)</x:f>
        <x:v>0</x:v>
      </x:c>
      <x:c r="O54" s="12" t="n">
        <x:f>IF(AND(O48&lt;0,MAX($E48:N48)&gt;0),1,0)</x:f>
        <x:v>0</x:v>
      </x:c>
      <x:c r="P54" s="12" t="n">
        <x:f>IF(AND(P48&lt;0,MAX($E48:O48)&gt;0),1,0)</x:f>
        <x:v>0</x:v>
      </x:c>
      <x:c r="Q54" s="12" t="n">
        <x:f>IF(AND(Q48&lt;0,MAX($E48:P48)&gt;0),1,0)</x:f>
        <x:v>0</x:v>
      </x:c>
      <x:c r="R54" s="12" t="n">
        <x:f>IF(AND(R48&lt;0,MAX($E48:Q48)&gt;0),1,0)</x:f>
        <x:v>0</x:v>
      </x:c>
      <x:c r="S54" s="12" t="n">
        <x:f>IF(AND(S48&lt;0,MAX($E48:R48)&gt;0),1,0)</x:f>
        <x:v>0</x:v>
      </x:c>
      <x:c r="T54" s="12" t="n">
        <x:f>IF(AND(T48&lt;0,MAX($E48:S48)&gt;0),1,0)</x:f>
        <x:v>0</x:v>
      </x:c>
      <x:c r="U54" s="12" t="n">
        <x:f>IF(AND(U48&lt;0,MAX($E48:T48)&gt;0),1,0)</x:f>
        <x:v>0</x:v>
      </x:c>
      <x:c r="V54" s="12" t="n">
        <x:f>IF(AND(V48&lt;0,MAX($E48:U48)&gt;0),1,0)</x:f>
        <x:v>0</x:v>
      </x:c>
      <x:c r="W54" s="12" t="n">
        <x:f>IF(AND(W48&lt;0,MAX($E48:V48)&gt;0),1,0)</x:f>
        <x:v>0</x:v>
      </x:c>
      <x:c r="X54" s="12" t="n">
        <x:f>IF(AND(X48&lt;0,MAX($E48:W48)&gt;0),1,0)</x:f>
        <x:v>0</x:v>
      </x:c>
      <x:c r="Y54" s="12" t="n">
        <x:f>IF(AND(Y48&lt;0,MAX($E48:X48)&gt;0),1,0)</x:f>
        <x:v>0</x:v>
      </x:c>
      <x:c r="Z54" s="12" t="n">
        <x:f>IF(AND(Z48&lt;0,MAX($E48:Y48)&gt;0),1,0)</x:f>
        <x:v>0</x:v>
      </x:c>
      <x:c r="AA54" s="12" t="n">
        <x:f>IF(AND(AA48&lt;0,MAX($E48:Z48)&gt;0),1,0)</x:f>
        <x:v>0</x:v>
      </x:c>
      <x:c r="AB54" s="12" t="n">
        <x:f>IF(AND(AB48&lt;0,MAX($E48:AA48)&gt;0),1,0)</x:f>
        <x:v>0</x:v>
      </x:c>
      <x:c r="AC54" s="12" t="n">
        <x:f>IF(AND(AC48&lt;0,MAX($E48:AB48)&gt;0),1,0)</x:f>
        <x:v>0</x:v>
      </x:c>
      <x:c r="AD54" s="12" t="n">
        <x:f>IF(AND(AD48&lt;0,MAX($E48:AC48)&gt;0),1,0)</x:f>
        <x:v>0</x:v>
      </x:c>
      <x:c r="AE54" s="12" t="n">
        <x:f>IF(AND(AE48&lt;0,MAX($E48:AD48)&gt;0),1,0)</x:f>
        <x:v>0</x:v>
      </x:c>
      <x:c r="AF54" s="12" t="n">
        <x:f>IF(AND(AF48&lt;0,MAX($E48:AE48)&gt;0),1,0)</x:f>
        <x:v>0</x:v>
      </x:c>
      <x:c r="AG54" s="12" t="n">
        <x:f>IF(AND(AG48&lt;0,MAX($E48:AF48)&gt;0),1,0)</x:f>
        <x:v>0</x:v>
      </x:c>
      <x:c r="AH54" s="12" t="n">
        <x:f>IF(AND(AH48&lt;0,MAX($E48:AG48)&gt;0),1,0)</x:f>
        <x:v>0</x:v>
      </x:c>
      <x:c r="AI54" s="12" t="n">
        <x:f>IF(AND(AI48&lt;0,MAX($E48:AH48)&gt;0),1,0)</x:f>
        <x:v>0</x:v>
      </x:c>
      <x:c r="AJ54" s="12" t="n">
        <x:f>IF(AND(AJ48&lt;0,MAX($E48:AI48)&gt;0),1,0)</x:f>
        <x:v>0</x:v>
      </x:c>
      <x:c r="AK54" s="12" t="n">
        <x:f>IF(AND(AK48&lt;0,MAX($E48:AJ48)&gt;0),1,0)</x:f>
        <x:v>0</x:v>
      </x:c>
      <x:c r="AL54" s="12" t="n">
        <x:f>IF(AND(AL48&lt;0,MAX($E48:AK48)&gt;0),1,0)</x:f>
        <x:v>0</x:v>
      </x:c>
      <x:c r="AM54" s="12" t="n">
        <x:f>IF(AND(AM48&lt;0,MAX($E48:AL48)&gt;0),1,0)</x:f>
        <x:v>0</x:v>
      </x:c>
      <x:c r="AN54" s="12" t="n">
        <x:f>IF(AND(AN48&lt;0,MAX($E48:AM48)&gt;0),1,0)</x:f>
        <x:v>0</x:v>
      </x:c>
      <x:c r="AO54" s="1"/>
    </x:row>
    <x:row r="55" ht="23" customHeight="1">
      <x:c r="A55" s="1"/>
      <x:c r="B55" s="1"/>
      <x:c r="C55" s="1" t="str">
        <x:v>Nonconventional equity flag</x:v>
      </x:c>
      <x:c r="D55" s="1"/>
      <x:c r="E55" s="12" t="n">
        <x:f>0</x:f>
        <x:v>0</x:v>
      </x:c>
      <x:c r="F55" s="12" t="n">
        <x:f>IF(AND(F49&lt;0,MAX($E49:E49)&gt;0),1,0)</x:f>
        <x:v>0</x:v>
      </x:c>
      <x:c r="G55" s="12" t="n">
        <x:f>IF(AND(G49&lt;0,MAX($E49:F49)&gt;0),1,0)</x:f>
        <x:v>0</x:v>
      </x:c>
      <x:c r="H55" s="12" t="n">
        <x:f>IF(AND(H49&lt;0,MAX($E49:G49)&gt;0),1,0)</x:f>
        <x:v>0</x:v>
      </x:c>
      <x:c r="I55" s="12" t="n">
        <x:f>IF(AND(I49&lt;0,MAX($E49:H49)&gt;0),1,0)</x:f>
        <x:v>0</x:v>
      </x:c>
      <x:c r="J55" s="12" t="n">
        <x:f>IF(AND(J49&lt;0,MAX($E49:I49)&gt;0),1,0)</x:f>
        <x:v>0</x:v>
      </x:c>
      <x:c r="K55" s="12" t="n">
        <x:f>IF(AND(K49&lt;0,MAX($E49:J49)&gt;0),1,0)</x:f>
        <x:v>0</x:v>
      </x:c>
      <x:c r="L55" s="12" t="n">
        <x:f>IF(AND(L49&lt;0,MAX($E49:K49)&gt;0),1,0)</x:f>
        <x:v>0</x:v>
      </x:c>
      <x:c r="M55" s="12" t="n">
        <x:f>IF(AND(M49&lt;0,MAX($E49:L49)&gt;0),1,0)</x:f>
        <x:v>0</x:v>
      </x:c>
      <x:c r="N55" s="12" t="n">
        <x:f>IF(AND(N49&lt;0,MAX($E49:M49)&gt;0),1,0)</x:f>
        <x:v>0</x:v>
      </x:c>
      <x:c r="O55" s="12" t="n">
        <x:f>IF(AND(O49&lt;0,MAX($E49:N49)&gt;0),1,0)</x:f>
        <x:v>0</x:v>
      </x:c>
      <x:c r="P55" s="12" t="n">
        <x:f>IF(AND(P49&lt;0,MAX($E49:O49)&gt;0),1,0)</x:f>
        <x:v>0</x:v>
      </x:c>
      <x:c r="Q55" s="12" t="n">
        <x:f>IF(AND(Q49&lt;0,MAX($E49:P49)&gt;0),1,0)</x:f>
        <x:v>0</x:v>
      </x:c>
      <x:c r="R55" s="12" t="n">
        <x:f>IF(AND(R49&lt;0,MAX($E49:Q49)&gt;0),1,0)</x:f>
        <x:v>0</x:v>
      </x:c>
      <x:c r="S55" s="12" t="n">
        <x:f>IF(AND(S49&lt;0,MAX($E49:R49)&gt;0),1,0)</x:f>
        <x:v>0</x:v>
      </x:c>
      <x:c r="T55" s="12" t="n">
        <x:f>IF(AND(T49&lt;0,MAX($E49:S49)&gt;0),1,0)</x:f>
        <x:v>0</x:v>
      </x:c>
      <x:c r="U55" s="12" t="n">
        <x:f>IF(AND(U49&lt;0,MAX($E49:T49)&gt;0),1,0)</x:f>
        <x:v>0</x:v>
      </x:c>
      <x:c r="V55" s="12" t="n">
        <x:f>IF(AND(V49&lt;0,MAX($E49:U49)&gt;0),1,0)</x:f>
        <x:v>0</x:v>
      </x:c>
      <x:c r="W55" s="12" t="n">
        <x:f>IF(AND(W49&lt;0,MAX($E49:V49)&gt;0),1,0)</x:f>
        <x:v>0</x:v>
      </x:c>
      <x:c r="X55" s="12" t="n">
        <x:f>IF(AND(X49&lt;0,MAX($E49:W49)&gt;0),1,0)</x:f>
        <x:v>0</x:v>
      </x:c>
      <x:c r="Y55" s="12" t="n">
        <x:f>IF(AND(Y49&lt;0,MAX($E49:X49)&gt;0),1,0)</x:f>
        <x:v>0</x:v>
      </x:c>
      <x:c r="Z55" s="12" t="n">
        <x:f>IF(AND(Z49&lt;0,MAX($E49:Y49)&gt;0),1,0)</x:f>
        <x:v>0</x:v>
      </x:c>
      <x:c r="AA55" s="12" t="n">
        <x:f>IF(AND(AA49&lt;0,MAX($E49:Z49)&gt;0),1,0)</x:f>
        <x:v>0</x:v>
      </x:c>
      <x:c r="AB55" s="12" t="n">
        <x:f>IF(AND(AB49&lt;0,MAX($E49:AA49)&gt;0),1,0)</x:f>
        <x:v>0</x:v>
      </x:c>
      <x:c r="AC55" s="12" t="n">
        <x:f>IF(AND(AC49&lt;0,MAX($E49:AB49)&gt;0),1,0)</x:f>
        <x:v>0</x:v>
      </x:c>
      <x:c r="AD55" s="12" t="n">
        <x:f>IF(AND(AD49&lt;0,MAX($E49:AC49)&gt;0),1,0)</x:f>
        <x:v>0</x:v>
      </x:c>
      <x:c r="AE55" s="12" t="n">
        <x:f>IF(AND(AE49&lt;0,MAX($E49:AD49)&gt;0),1,0)</x:f>
        <x:v>0</x:v>
      </x:c>
      <x:c r="AF55" s="12" t="n">
        <x:f>IF(AND(AF49&lt;0,MAX($E49:AE49)&gt;0),1,0)</x:f>
        <x:v>0</x:v>
      </x:c>
      <x:c r="AG55" s="12" t="n">
        <x:f>IF(AND(AG49&lt;0,MAX($E49:AF49)&gt;0),1,0)</x:f>
        <x:v>0</x:v>
      </x:c>
      <x:c r="AH55" s="12" t="n">
        <x:f>IF(AND(AH49&lt;0,MAX($E49:AG49)&gt;0),1,0)</x:f>
        <x:v>0</x:v>
      </x:c>
      <x:c r="AI55" s="12" t="n">
        <x:f>IF(AND(AI49&lt;0,MAX($E49:AH49)&gt;0),1,0)</x:f>
        <x:v>0</x:v>
      </x:c>
      <x:c r="AJ55" s="12" t="n">
        <x:f>IF(AND(AJ49&lt;0,MAX($E49:AI49)&gt;0),1,0)</x:f>
        <x:v>0</x:v>
      </x:c>
      <x:c r="AK55" s="12" t="n">
        <x:f>IF(AND(AK49&lt;0,MAX($E49:AJ49)&gt;0),1,0)</x:f>
        <x:v>0</x:v>
      </x:c>
      <x:c r="AL55" s="12" t="n">
        <x:f>IF(AND(AL49&lt;0,MAX($E49:AK49)&gt;0),1,0)</x:f>
        <x:v>0</x:v>
      </x:c>
      <x:c r="AM55" s="12" t="n">
        <x:f>IF(AND(AM49&lt;0,MAX($E49:AL49)&gt;0),1,0)</x:f>
        <x:v>0</x:v>
      </x:c>
      <x:c r="AN55" s="12" t="n">
        <x:f>IF(AND(AN49&lt;0,MAX($E49:AM49)&gt;0),1,0)</x:f>
        <x:v>0</x:v>
      </x:c>
      <x:c r="AO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</x:row>
    <x:row r="57" ht="23" customHeight="1">
      <x:c r="A57" s="1"/>
      <x:c r="B57" s="1"/>
      <x:c r="C57" s="1" t="str">
        <x:v>CapEx</x:v>
      </x:c>
      <x:c r="D57" s="1"/>
      <x:c r="E57" s="16" t="n">
        <x:f>SUM(Assumptions!F50:F61)</x:f>
        <x:v>50000000</x:v>
      </x:c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</x:row>
    <x:row r="58" ht="23" customHeight="1">
      <x:c r="A58" s="1"/>
      <x:c r="B58" s="1"/>
      <x:c r="C58" s="1" t="str">
        <x:v>Contingency</x:v>
      </x:c>
      <x:c r="D58" s="1"/>
      <x:c r="E58" s="16" t="n">
        <x:f>E57*Assumptions!$H$38</x:f>
        <x:v>2500000</x:v>
      </x:c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</x:row>
    <x:row r="59" ht="23" customHeight="1">
      <x:c r="A59" s="1"/>
      <x:c r="B59" s="1"/>
      <x:c r="C59" s="1" t="str">
        <x:v>Development cost</x:v>
      </x:c>
      <x:c r="D59" s="1"/>
      <x:c r="E59" s="12" t="n">
        <x:f>E57+E58</x:f>
        <x:v>52500000</x:v>
      </x:c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</x:row>
    <x:row r="60" ht="23" customHeight="1">
      <x:c r="A60" s="1"/>
      <x:c r="B60" s="1"/>
      <x:c r="C60" s="1" t="str">
        <x:v>Debt commitment</x:v>
      </x:c>
      <x:c r="D60" s="1"/>
      <x:c r="E60" s="16" t="n">
        <x:f>E59*Assumptions!$H$27</x:f>
        <x:v>21000000</x:v>
      </x:c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</x:row>
    <x:row r="61" ht="23" customHeight="1">
      <x:c r="A61" s="1"/>
      <x:c r="B61" s="1"/>
      <x:c r="C61" s="1" t="str">
        <x:v>Financing fees</x:v>
      </x:c>
      <x:c r="D61" s="1"/>
      <x:c r="E61" s="16" t="n">
        <x:f>E60*Assumptions!$H$37</x:f>
        <x:v>420000</x:v>
      </x:c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</x:row>
    <x:row r="62" ht="23" customHeight="1">
      <x:c r="A62" s="1"/>
      <x:c r="B62" s="1"/>
      <x:c r="C62" s="1" t="str">
        <x:v>Construction interest</x:v>
      </x:c>
      <x:c r="D62" s="1"/>
      <x:c r="E62" s="16" t="n">
        <x:f>E60*Assumptions!$H$28*(Assumptions!$H$15+1)/2</x:f>
        <x:v>1470000.0000000002</x:v>
      </x:c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</x:row>
    <x:row r="63" ht="23" customHeight="1">
      <x:c r="A63" s="1"/>
      <x:c r="B63" s="1"/>
      <x:c r="C63" s="1" t="str">
        <x:v>Total uses</x:v>
      </x:c>
      <x:c r="D63" s="1"/>
      <x:c r="E63" s="12" t="n">
        <x:f>SUM(E59,E61:E62)</x:f>
        <x:v>54390000</x:v>
      </x:c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</x:row>
    <x:row r="64" ht="23" customHeight="1">
      <x:c r="A64" s="1"/>
      <x:c r="B64" s="1"/>
      <x:c r="C64" s="1" t="str">
        <x:v>Sponsor construction equity</x:v>
      </x:c>
      <x:c r="D64" s="1"/>
      <x:c r="E64" s="12" t="n">
        <x:f>E63-E60</x:f>
        <x:v>33390000</x:v>
      </x:c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</x:row>
    <x:row r="65" ht="23" customHeight="1">
      <x:c r="A65" s="1"/>
      <x:c r="B65" s="1"/>
      <x:c r="C65" s="1" t="str">
        <x:v>Installments</x:v>
      </x:c>
      <x:c r="D65" s="1"/>
      <x:c r="E65" s="16" t="n">
        <x:f>MAX(1,Assumptions!$H$15)</x:f>
        <x:v>1</x:v>
      </x:c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</x:row>
    <x:row r="66" ht="23" customHeight="1">
      <x:c r="A66" s="1"/>
      <x:c r="B66" s="1"/>
      <x:c r="C66" s="1" t="str">
        <x:v>Initial development spend</x:v>
      </x:c>
      <x:c r="D66" s="1"/>
      <x:c r="E66" s="12" t="n">
        <x:f>E59/E65</x:f>
        <x:v>52500000</x:v>
      </x:c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</x:row>
    <x:row r="67" ht="23" customHeight="1">
      <x:c r="A67" s="1"/>
      <x:c r="B67" s="1"/>
      <x:c r="C67" s="1" t="str">
        <x:v>Initial debt draw</x:v>
      </x:c>
      <x:c r="D67" s="1"/>
      <x:c r="E67" s="12" t="n">
        <x:f>E60/E65</x:f>
        <x:v>21000000</x:v>
      </x:c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</x:row>
    <x:row r="68" ht="23" customHeight="1">
      <x:c r="A68" s="1"/>
      <x:c r="B68" s="1"/>
      <x:c r="C68" s="1" t="str">
        <x:v>Annual depreciation</x:v>
      </x:c>
      <x:c r="D68" s="1"/>
      <x:c r="E68" s="16" t="n">
        <x:f>E59*Assumptions!$H$34/Assumptions!$H$29</x:f>
        <x:v>2800000</x:v>
      </x:c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</x:row>
    <x:row r="69" ht="23" customHeight="1">
      <x:c r="A69" s="1"/>
      <x:c r="B69" s="1"/>
      <x:c r="C69" s="1" t="str">
        <x:v>Annuity payment</x:v>
      </x:c>
      <x:c r="D69" s="1"/>
      <x:c r="E69" s="16" t="n">
        <x:f>IF(Assumptions!$H$28=0,E60/(Assumptions!$H$35-Assumptions!$H$36),E60*Assumptions!$H$28/(1-(1+Assumptions!$H$28)^-(Assumptions!$H$35-Assumptions!$H$36)))</x:f>
        <x:v>3223215.872906859</x:v>
      </x:c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</x:row>
    <x:row r="70" ht="23" customHeight="1">
      <x:c r="A70" s="1"/>
      <x:c r="B70" s="1"/>
      <x:c r="C70" s="1" t="str">
        <x:v>Fixed operating costs</x:v>
      </x:c>
      <x:c r="D70" s="1"/>
      <x:c r="E70" s="16" t="n">
        <x:f>SUM(Assumptions!$H$19,Assumptions!$H$20,Assumptions!$H$21,Assumptions!$H$22,Assumptions!$H$23,Assumptions!$H$24)</x:f>
        <x:v>2050000</x:v>
      </x:c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</x:row>
    <x:row r="71" ht="23" customHeight="1">
      <x:c r="A71" s="1"/>
      <x:c r="B71" s="1"/>
      <x:c r="C71" s="1" t="str">
        <x:v>Residual book value</x:v>
      </x:c>
      <x:c r="D71" s="1"/>
      <x:c r="E71" s="16" t="n">
        <x:f>E59*(1-Assumptions!$H$34)</x:f>
        <x:v>10499999.999999998</x:v>
      </x:c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  <x:c r="AM71" s="1"/>
      <x:c r="AN71" s="1"/>
      <x:c r="AO71" s="1"/>
    </x:row>
    <x:row r="72" ht="23" customHeight="1">
      <x:c r="A72" s="1"/>
      <x:c r="B72" s="1"/>
      <x:c r="C72" s="1" t="str">
        <x:v>Total horizon</x:v>
      </x:c>
      <x:c r="D72" s="1"/>
      <x:c r="E72" s="16" t="n">
        <x:f>Assumptions!$H$15+Assumptions!$H$29</x:f>
        <x:v>16</x:v>
      </x:c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  <x:c r="AM72" s="1"/>
      <x:c r="AN72" s="1"/>
      <x:c r="AO72" s="1"/>
    </x:row>
    <x:row r="73" ht="23" customHeight="1">
      <x:c r="A73" s="1"/>
      <x:c r="B73" s="1"/>
      <x:c r="C73" s="1"/>
      <x:c r="D73" s="1"/>
      <x:c r="E73" s="12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  <x:c r="AG73" s="1"/>
      <x:c r="AH73" s="1"/>
      <x:c r="AI73" s="1"/>
      <x:c r="AJ73" s="1"/>
      <x:c r="AK73" s="1"/>
      <x:c r="AL73" s="1"/>
      <x:c r="AM73" s="1"/>
      <x:c r="AN73" s="1"/>
      <x:c r="AO73" s="1"/>
    </x:row>
    <x:row r="74" ht="23" customHeight="1">
      <x:c r="A74" s="1"/>
      <x:c r="B74" s="1"/>
      <x:c r="C74" s="1" t="str">
        <x:v>Project NPV</x:v>
      </x:c>
      <x:c r="D74" s="1"/>
      <x:c r="E74" s="16" t="n">
        <x:f>NPV(Assumptions!$H$26,F48:AN48)+E48</x:f>
        <x:v>-12177305.005744815</x:v>
      </x:c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  <x:c r="AG74" s="1"/>
      <x:c r="AH74" s="1"/>
      <x:c r="AI74" s="1"/>
      <x:c r="AJ74" s="1"/>
      <x:c r="AK74" s="1"/>
      <x:c r="AL74" s="1"/>
      <x:c r="AM74" s="1"/>
      <x:c r="AN74" s="1"/>
      <x:c r="AO74" s="1"/>
    </x:row>
    <x:row r="75" ht="23" customHeight="1">
      <x:c r="A75" s="1"/>
      <x:c r="B75" s="1"/>
      <x:c r="C75" s="1" t="str">
        <x:v>Project IRR</x:v>
      </x:c>
      <x:c r="D75" s="1"/>
      <x:c r="E75" s="14" t="n">
        <x:f>IF(SUM(E54:AN54)&gt;0,"n.a.",IFERROR(IRR(E48:INDEX(E48:AN48,1,E72+1)),"n.a."))</x:f>
        <x:v>0.06828651045149954</x:v>
      </x:c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  <x:c r="AG75" s="1"/>
      <x:c r="AH75" s="1"/>
      <x:c r="AI75" s="1"/>
      <x:c r="AJ75" s="1"/>
      <x:c r="AK75" s="1"/>
      <x:c r="AL75" s="1"/>
      <x:c r="AM75" s="1"/>
      <x:c r="AN75" s="1"/>
      <x:c r="AO75" s="1"/>
    </x:row>
    <x:row r="76" ht="23" customHeight="1">
      <x:c r="A76" s="1"/>
      <x:c r="B76" s="1"/>
      <x:c r="C76" s="1" t="str">
        <x:v>Equity IRR</x:v>
      </x:c>
      <x:c r="D76" s="1"/>
      <x:c r="E76" s="14" t="n">
        <x:f>IF(SUM(E55:AN55)&gt;0,"n.a.",IFERROR(IRR(E49:INDEX(E49:AN49,1,E72+1)),"n.a."))</x:f>
        <x:v>0.06985752698257477</x:v>
      </x:c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  <x:c r="AG76" s="1"/>
      <x:c r="AH76" s="1"/>
      <x:c r="AI76" s="1"/>
      <x:c r="AJ76" s="1"/>
      <x:c r="AK76" s="1"/>
      <x:c r="AL76" s="1"/>
      <x:c r="AM76" s="1"/>
      <x:c r="AN76" s="1"/>
      <x:c r="AO76" s="1"/>
    </x:row>
    <x:row r="77" ht="23" customHeight="1">
      <x:c r="A77" s="1"/>
      <x:c r="B77" s="1"/>
      <x:c r="C77" s="1" t="str">
        <x:v>Minimum DSCR</x:v>
      </x:c>
      <x:c r="D77" s="1"/>
      <x:c r="E77" s="8" t="n">
        <x:f>IF(COUNT(E40:AN40)=0,"n.a.",MIN(E40:AN40))</x:f>
        <x:v>0.866652936021034</x:v>
      </x:c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  <x:c r="AM77" s="1"/>
      <x:c r="AN77" s="1"/>
      <x:c r="AO77" s="1"/>
    </x:row>
    <x:row r="78" ht="23" customHeight="1">
      <x:c r="A78" s="1"/>
      <x:c r="B78" s="1"/>
      <x:c r="C78" s="1" t="str">
        <x:v>Average DSCR</x:v>
      </x:c>
      <x:c r="D78" s="1"/>
      <x:c r="E78" s="8" t="n">
        <x:f>IF(COUNT(E40:AN40)=0,"n.a.",AVERAGE(E40:AN40))</x:f>
        <x:v>1.9994299517360332</x:v>
      </x:c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  <x:c r="AG78" s="1"/>
      <x:c r="AH78" s="1"/>
      <x:c r="AI78" s="1"/>
      <x:c r="AJ78" s="1"/>
      <x:c r="AK78" s="1"/>
      <x:c r="AL78" s="1"/>
      <x:c r="AM78" s="1"/>
      <x:c r="AN78" s="1"/>
      <x:c r="AO78" s="1"/>
    </x:row>
    <x:row r="79" ht="23" customHeight="1">
      <x:c r="A79" s="1"/>
      <x:c r="B79" s="1"/>
      <x:c r="C79" s="1" t="str">
        <x:v>Operating payback</x:v>
      </x:c>
      <x:c r="D79" s="1"/>
      <x:c r="E79" s="8" t="n">
        <x:f>IF(MIN(E52:AN52)=999,"n.a.",MIN(E52:AN52))</x:f>
        <x:v>10.402965563424708</x:v>
      </x:c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  <x:c r="AG79" s="1"/>
      <x:c r="AH79" s="1"/>
      <x:c r="AI79" s="1"/>
      <x:c r="AJ79" s="1"/>
      <x:c r="AK79" s="1"/>
      <x:c r="AL79" s="1"/>
      <x:c r="AM79" s="1"/>
      <x:c r="AN79" s="1"/>
      <x:c r="AO79" s="1"/>
    </x:row>
    <x:row r="80" ht="23" customHeight="1">
      <x:c r="A80" s="1"/>
      <x:c r="B80" s="1"/>
      <x:c r="C80" s="1" t="str">
        <x:v>Additional operating equity</x:v>
      </x:c>
      <x:c r="D80" s="1"/>
      <x:c r="E80" s="12" t="n">
        <x:f>SUM(E53:AN53)</x:f>
        <x:v>539403.3333333342</x:v>
      </x:c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  <x:c r="AG80" s="1"/>
      <x:c r="AH80" s="1"/>
      <x:c r="AI80" s="1"/>
      <x:c r="AJ80" s="1"/>
      <x:c r="AK80" s="1"/>
      <x:c r="AL80" s="1"/>
      <x:c r="AM80" s="1"/>
      <x:c r="AN80" s="1"/>
      <x:c r="AO80" s="1"/>
    </x:row>
    <x:row r="81" ht="23" customHeight="1">
      <x:c r="A81" s="1"/>
      <x:c r="B81" s="1"/>
      <x:c r="C81" s="1" t="str">
        <x:v>Years below threshold</x:v>
      </x:c>
      <x:c r="D81" s="1"/>
      <x:c r="E81" s="12" t="n">
        <x:f>SUM(E41:AN41)</x:f>
        <x:v>2</x:v>
      </x:c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  <x:c r="AG81" s="1"/>
      <x:c r="AH81" s="1"/>
      <x:c r="AI81" s="1"/>
      <x:c r="AJ81" s="1"/>
      <x:c r="AK81" s="1"/>
      <x:c r="AL81" s="1"/>
      <x:c r="AM81" s="1"/>
      <x:c r="AN81" s="1"/>
      <x:c r="AO81" s="1"/>
    </x:row>
    <x:row r="82" ht="23" customHeight="1">
      <x:c r="A82" s="1"/>
      <x:c r="B82" s="1"/>
      <x:c r="C82" s="1" t="str">
        <x:v>Sources less uses (must be zero)</x:v>
      </x:c>
      <x:c r="D82" s="1"/>
      <x:c r="E82" s="12" t="n">
        <x:f>E60+E64-E63</x:f>
        <x:v>0</x:v>
      </x:c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  <x:c r="AG84" s="1"/>
      <x:c r="AH84" s="1"/>
      <x:c r="AI84" s="1"/>
      <x:c r="AJ84" s="1"/>
      <x:c r="AK84" s="1"/>
      <x:c r="AL84" s="1"/>
      <x:c r="AM84" s="1"/>
      <x:c r="AN84" s="1"/>
      <x:c r="AO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  <x:c r="AJ85" s="1"/>
      <x:c r="AK85" s="1"/>
      <x:c r="AL85" s="1"/>
      <x:c r="AM85" s="1"/>
      <x:c r="AN85" s="1"/>
      <x:c r="AO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  <x:c r="AJ86" s="1"/>
      <x:c r="AK86" s="1"/>
      <x:c r="AL86" s="1"/>
      <x:c r="AM86" s="1"/>
      <x:c r="AN86" s="1"/>
      <x:c r="AO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  <x:c r="AJ87" s="1"/>
      <x:c r="AK87" s="1"/>
      <x:c r="AL87" s="1"/>
      <x:c r="AM87" s="1"/>
      <x:c r="AN87" s="1"/>
      <x:c r="AO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  <x:c r="AJ88" s="1"/>
      <x:c r="AK88" s="1"/>
      <x:c r="AL88" s="1"/>
      <x:c r="AM88" s="1"/>
      <x:c r="AN88" s="1"/>
      <x:c r="AO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  <x:c r="AJ89" s="1"/>
      <x:c r="AK89" s="1"/>
      <x:c r="AL89" s="1"/>
      <x:c r="AM89" s="1"/>
      <x:c r="AN89" s="1"/>
      <x:c r="AO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  <x:c r="AJ90" s="1"/>
      <x:c r="AK90" s="1"/>
      <x:c r="AL90" s="1"/>
      <x:c r="AM90" s="1"/>
      <x:c r="AN90" s="1"/>
      <x:c r="AO90" s="1"/>
    </x:row>
  </x:sheetData>
  <x:pageMargins left="0.7" right="0.7" top="0.75" bottom="0.75" header="0.3" footer="0.3"/>
  <x:drawing xmlns:r="http://schemas.openxmlformats.org/officeDocument/2006/relationships" r:id="R2accfabb81284b7a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3" customHeight="1">
      <x:c r="A2" s="1"/>
      <x:c r="B2" s="1"/>
      <x:c r="C2" s="2" t="str">
        <x:v>Editable illustrative assumptions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23" customHeight="1">
      <x:c r="A4" s="1"/>
      <x:c r="B4" s="1"/>
      <x:c r="C4" s="1" t="str">
        <x:v>LUNA1 RESEARCH · Independent educational work sample · October 2026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3" customHeight="1">
      <x:c r="A5" s="1"/>
      <x:c r="B5" s="1"/>
      <x:c r="C5" s="1" t="str">
        <x:v>Case: 1 Base · 2 Upside · 3 Downside</x:v>
      </x:c>
      <x:c r="D5" s="1"/>
      <x:c r="E5" s="3" t="n">
        <x:v>1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23" customHeight="1">
      <x:c r="A6" s="1"/>
      <x:c r="B6" s="1"/>
      <x:c r="C6" s="1" t="str">
        <x:v>Source: author-created hypothetical inputs; not market data or employer information.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23" customHeight="1">
      <x:c r="A8" s="1"/>
      <x:c r="B8" s="1"/>
      <x:c r="C8" s="1" t="str">
        <x:v>Utilization override (-1 = ramp)</x:v>
      </x:c>
      <x:c r="D8" s="1"/>
      <x:c r="E8" s="3" t="n">
        <x:v>-1</x:v>
      </x:c>
      <x:c r="F8" s="1"/>
      <x:c r="G8" s="1"/>
      <x:c r="H8" s="1"/>
      <x:c r="I8" s="1"/>
      <x:c r="J8" s="1" t="str">
        <x:v>Sensitivities use the active case; utilization overrides the entire ramp.</x:v>
      </x:c>
      <x:c r="K8" s="1"/>
      <x:c r="L8" s="1"/>
      <x:c r="M8" s="1"/>
      <x:c r="N8" s="1"/>
      <x:c r="O8" s="1"/>
      <x:c r="P8" s="1"/>
      <x:c r="Q8" s="1"/>
      <x:c r="R8" s="1"/>
    </x:row>
    <x:row r="9" ht="23" customHeight="1">
      <x:c r="A9" s="1"/>
      <x:c r="B9" s="1"/>
      <x:c r="C9" s="1" t="str">
        <x:v>CapEx sensitivity multiplier</x:v>
      </x:c>
      <x:c r="D9" s="1"/>
      <x:c r="E9" s="3" t="n">
        <x:v>1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23" customHeight="1">
      <x:c r="A10" s="1"/>
      <x:c r="B10" s="1"/>
      <x:c r="C10" s="1" t="str">
        <x:v>Revenue price multiplier</x:v>
      </x:c>
      <x:c r="D10" s="1"/>
      <x:c r="E10" s="3" t="n">
        <x:v>1</x:v>
      </x:c>
      <x:c r="F10" s="1"/>
      <x:c r="G10" s="1"/>
      <x:c r="H10" s="1"/>
      <x:c r="I10" s="1"/>
      <x:c r="J10" s="1" t="str">
        <x:v>Equity IRR · CapEx multiplier across / utilization down</x:v>
      </x:c>
      <x:c r="K10" s="1"/>
      <x:c r="L10" s="1"/>
      <x:c r="M10" s="1"/>
      <x:c r="N10" s="1"/>
      <x:c r="O10" s="1"/>
      <x:c r="P10" s="1"/>
      <x:c r="Q10" s="1"/>
      <x:c r="R10" s="1"/>
    </x:row>
    <x:row r="11" ht="23" customHeight="1">
      <x:c r="A11" s="1"/>
      <x:c r="B11" s="1"/>
      <x:c r="C11" s="1" t="str">
        <x:v>Power price multiplier</x:v>
      </x:c>
      <x:c r="D11" s="1"/>
      <x:c r="E11" s="3" t="n">
        <x:v>1</x:v>
      </x:c>
      <x:c r="F11" s="1"/>
      <x:c r="G11" s="1"/>
      <x:c r="H11" s="1"/>
      <x:c r="I11" s="1"/>
      <x:c r="J11" s="15" t="n">
        <x:f>Model!E76</x:f>
        <x:v>0.06985752698257477</x:v>
      </x:c>
      <x:c r="K11" s="1" t="n">
        <x:v>0.9</x:v>
      </x:c>
      <x:c r="L11" s="1" t="n">
        <x:v>1</x:v>
      </x:c>
      <x:c r="M11" s="1" t="n">
        <x:v>1.1</x:v>
      </x:c>
      <x:c r="N11" s="1"/>
      <x:c r="O11" s="1"/>
      <x:c r="P11" s="1"/>
      <x:c r="Q11" s="1"/>
      <x:c r="R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 t="n">
        <x:v>0.7</x:v>
      </x:c>
      <x:c r="K12" s="14" t="n">
        <x:f t="dataTable" ref="K12:M14" dt2D="1" r1="E9" r2="E8"/>
        <x:v>0.0591768062169</x:v>
      </x:c>
      <x:c r="L12" s="14" t="n">
        <x:v>0.0441948090781</x:v>
      </x:c>
      <x:c r="M12" s="14" t="n">
        <x:v>0.0311439109328</x:v>
      </x:c>
      <x:c r="N12" s="1"/>
      <x:c r="O12" s="1"/>
      <x:c r="P12" s="1"/>
      <x:c r="Q12" s="1"/>
      <x:c r="R12" s="1"/>
    </x:row>
    <x:row r="13" ht="32" customHeight="1">
      <x:c r="A13" s="1"/>
      <x:c r="B13" s="1"/>
      <x:c r="C13" s="6" t="str">
        <x:v>Driver</x:v>
      </x:c>
      <x:c r="D13" s="6" t="str">
        <x:v>Unit</x:v>
      </x:c>
      <x:c r="E13" s="6" t="str">
        <x:v>Base</x:v>
      </x:c>
      <x:c r="F13" s="6" t="str">
        <x:v>Upside</x:v>
      </x:c>
      <x:c r="G13" s="6" t="str">
        <x:v>Downside</x:v>
      </x:c>
      <x:c r="H13" s="6" t="str">
        <x:v>Active</x:v>
      </x:c>
      <x:c r="I13" s="1"/>
      <x:c r="J13" s="1" t="n">
        <x:v>0.8</x:v>
      </x:c>
      <x:c r="K13" s="14" t="n">
        <x:v>0.0867217369055</x:v>
      </x:c>
      <x:c r="L13" s="14" t="n">
        <x:v>0.0705338890829</x:v>
      </x:c>
      <x:c r="M13" s="14" t="n">
        <x:v>0.0564691459079</x:v>
      </x:c>
      <x:c r="N13" s="1"/>
      <x:c r="O13" s="1"/>
      <x:c r="P13" s="1"/>
      <x:c r="Q13" s="1"/>
      <x:c r="R13" s="1"/>
    </x:row>
    <x:row r="14" ht="23" customHeight="1">
      <x:c r="A14" s="1"/>
      <x:c r="B14" s="1"/>
      <x:c r="C14" s="1" t="str">
        <x:v>Capacity</x:v>
      </x:c>
      <x:c r="D14" s="1" t="str">
        <x:v>MW</x:v>
      </x:c>
      <x:c r="E14" s="7" t="n">
        <x:v>5</x:v>
      </x:c>
      <x:c r="F14" s="8" t="n">
        <x:f>E14</x:f>
        <x:v>5</x:v>
      </x:c>
      <x:c r="G14" s="8" t="n">
        <x:f>E14</x:f>
        <x:v>5</x:v>
      </x:c>
      <x:c r="H14" s="8" t="n">
        <x:f>CHOOSE($E$5,E14,F14,G14)</x:f>
        <x:v>5</x:v>
      </x:c>
      <x:c r="I14" s="1"/>
      <x:c r="J14" s="1" t="n">
        <x:v>0.9</x:v>
      </x:c>
      <x:c r="K14" s="14" t="n">
        <x:v>0.1119235374525</x:v>
      </x:c>
      <x:c r="L14" s="14" t="n">
        <x:v>0.0945760811146</x:v>
      </x:c>
      <x:c r="M14" s="14" t="n">
        <x:v>0.0795400249248</x:v>
      </x:c>
      <x:c r="N14" s="1"/>
      <x:c r="O14" s="1"/>
      <x:c r="P14" s="1"/>
      <x:c r="Q14" s="1"/>
      <x:c r="R14" s="1"/>
    </x:row>
    <x:row r="15" ht="23" customHeight="1">
      <x:c r="A15" s="1"/>
      <x:c r="B15" s="1"/>
      <x:c r="C15" s="1" t="str">
        <x:v>Construction</x:v>
      </x:c>
      <x:c r="D15" s="1" t="str">
        <x:v>years</x:v>
      </x:c>
      <x:c r="E15" s="7" t="n">
        <x:v>1</x:v>
      </x:c>
      <x:c r="F15" s="8" t="n">
        <x:f>E15</x:f>
        <x:v>1</x:v>
      </x:c>
      <x:c r="G15" s="8" t="n">
        <x:f>MIN(5,E15+1)</x:f>
        <x:v>2</x:v>
      </x:c>
      <x:c r="H15" s="8" t="n">
        <x:f>CHOOSE($E$5,E15,F15,G15)</x:f>
        <x:v>1</x:v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 ht="23" customHeight="1">
      <x:c r="A16" s="1"/>
      <x:c r="B16" s="1"/>
      <x:c r="C16" s="1" t="str">
        <x:v>Power price</x:v>
      </x:c>
      <x:c r="D16" s="1" t="str">
        <x:v>$/kWh</x:v>
      </x:c>
      <x:c r="E16" s="9" t="n">
        <x:v>0.08</x:v>
      </x:c>
      <x:c r="F16" s="10" t="n">
        <x:f>E16*0.9</x:f>
        <x:v>0.07200000000000001</x:v>
      </x:c>
      <x:c r="G16" s="10" t="n">
        <x:f>E16*1.1</x:f>
        <x:v>0.08800000000000001</x:v>
      </x:c>
      <x:c r="H16" s="10" t="n">
        <x:f>CHOOSE($E$5,E16,F16,G16)</x:f>
        <x:v>0.08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 ht="23" customHeight="1">
      <x:c r="A17" s="1"/>
      <x:c r="B17" s="1"/>
      <x:c r="C17" s="1" t="str">
        <x:v>Power usage effectiveness</x:v>
      </x:c>
      <x:c r="D17" s="1" t="str">
        <x:v>x</x:v>
      </x:c>
      <x:c r="E17" s="7" t="n">
        <x:v>1.4</x:v>
      </x:c>
      <x:c r="F17" s="8" t="n">
        <x:f>E17</x:f>
        <x:v>1.4</x:v>
      </x:c>
      <x:c r="G17" s="8" t="n">
        <x:f>E17</x:f>
        <x:v>1.4</x:v>
      </x:c>
      <x:c r="H17" s="8" t="n">
        <x:f>CHOOSE($E$5,E17,F17,G17)</x:f>
        <x:v>1.4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 ht="23" customHeight="1">
      <x:c r="A18" s="1"/>
      <x:c r="B18" s="1"/>
      <x:c r="C18" s="1" t="str">
        <x:v>Capacity revenue</x:v>
      </x:c>
      <x:c r="D18" s="1" t="str">
        <x:v>$/kW/mo</x:v>
      </x:c>
      <x:c r="E18" s="7" t="n">
        <x:v>250</x:v>
      </x:c>
      <x:c r="F18" s="8" t="n">
        <x:f>E18*1.1</x:f>
        <x:v>275</x:v>
      </x:c>
      <x:c r="G18" s="8" t="n">
        <x:f>E18*0.9</x:f>
        <x:v>225</x:v>
      </x:c>
      <x:c r="H18" s="8" t="n">
        <x:f>CHOOSE($E$5,E18,F18,G18)</x:f>
        <x:v>250</x:v>
      </x:c>
      <x:c r="I18" s="1"/>
      <x:c r="J18" s="1" t="str">
        <x:v>Minimum DSCR · power multiplier across / utilization down</x:v>
      </x:c>
      <x:c r="K18" s="1"/>
      <x:c r="L18" s="1"/>
      <x:c r="M18" s="1"/>
      <x:c r="N18" s="1"/>
      <x:c r="O18" s="1"/>
      <x:c r="P18" s="1"/>
      <x:c r="Q18" s="1"/>
      <x:c r="R18" s="1"/>
    </x:row>
    <x:row r="19" ht="23" customHeight="1">
      <x:c r="A19" s="1"/>
      <x:c r="B19" s="1"/>
      <x:c r="C19" s="1" t="str">
        <x:v>Other operating expenses</x:v>
      </x:c>
      <x:c r="D19" s="1" t="str">
        <x:v>USD</x:v>
      </x:c>
      <x:c r="E19" s="11" t="n">
        <x:v>400000</x:v>
      </x:c>
      <x:c r="F19" s="12" t="n">
        <x:f>E19*0.9</x:f>
        <x:v>360000</x:v>
      </x:c>
      <x:c r="G19" s="12" t="n">
        <x:f>E19*1.1</x:f>
        <x:v>440000.00000000006</x:v>
      </x:c>
      <x:c r="H19" s="12" t="n">
        <x:f>CHOOSE($E$5,E19,F19,G19)</x:f>
        <x:v>400000</x:v>
      </x:c>
      <x:c r="I19" s="1"/>
      <x:c r="J19" s="15" t="n">
        <x:f>Model!E77</x:f>
        <x:v>0.866652936021034</x:v>
      </x:c>
      <x:c r="K19" s="1" t="n">
        <x:v>0.8</x:v>
      </x:c>
      <x:c r="L19" s="1" t="n">
        <x:v>1</x:v>
      </x:c>
      <x:c r="M19" s="1" t="n">
        <x:v>1.2</x:v>
      </x:c>
      <x:c r="N19" s="1"/>
      <x:c r="O19" s="1"/>
      <x:c r="P19" s="1"/>
      <x:c r="Q19" s="1"/>
      <x:c r="R19" s="1"/>
    </x:row>
    <x:row r="20" ht="23" customHeight="1">
      <x:c r="A20" s="1"/>
      <x:c r="B20" s="1"/>
      <x:c r="C20" s="1" t="str">
        <x:v>Maintenance operating costs</x:v>
      </x:c>
      <x:c r="D20" s="1" t="str">
        <x:v>USD</x:v>
      </x:c>
      <x:c r="E20" s="11" t="n">
        <x:v>300000</x:v>
      </x:c>
      <x:c r="F20" s="12" t="n">
        <x:f>E20*0.9</x:f>
        <x:v>270000</x:v>
      </x:c>
      <x:c r="G20" s="12" t="n">
        <x:f>E20*1.1</x:f>
        <x:v>330000</x:v>
      </x:c>
      <x:c r="H20" s="12" t="n">
        <x:f>CHOOSE($E$5,E20,F20,G20)</x:f>
        <x:v>300000</x:v>
      </x:c>
      <x:c r="I20" s="1"/>
      <x:c r="J20" s="1" t="n">
        <x:v>0.7</x:v>
      </x:c>
      <x:c r="K20" s="18" t="n">
        <x:f t="dataTable" ref="K20:M22" dt2D="1" r1="E11" r2="E8"/>
        <x:v>1.3781721297108</x:v>
      </x:c>
      <x:c r="L20" s="18" t="n">
        <x:v>1.2427414548642</x:v>
      </x:c>
      <x:c r="M20" s="18" t="n">
        <x:v>1.1073107800175</x:v>
      </x:c>
      <x:c r="N20" s="1"/>
      <x:c r="O20" s="1"/>
      <x:c r="P20" s="1"/>
      <x:c r="Q20" s="1"/>
      <x:c r="R20" s="1"/>
    </x:row>
    <x:row r="21" ht="23" customHeight="1">
      <x:c r="A21" s="1"/>
      <x:c r="B21" s="1"/>
      <x:c r="C21" s="1" t="str">
        <x:v>Staffing</x:v>
      </x:c>
      <x:c r="D21" s="1" t="str">
        <x:v>USD</x:v>
      </x:c>
      <x:c r="E21" s="11" t="n">
        <x:v>750000</x:v>
      </x:c>
      <x:c r="F21" s="12" t="n">
        <x:f>E21*0.9</x:f>
        <x:v>675000</x:v>
      </x:c>
      <x:c r="G21" s="12" t="n">
        <x:f>E21*1.1</x:f>
        <x:v>825000.0000000001</x:v>
      </x:c>
      <x:c r="H21" s="12" t="n">
        <x:f>CHOOSE($E$5,E21,F21,G21)</x:f>
        <x:v>750000</x:v>
      </x:c>
      <x:c r="I21" s="1"/>
      <x:c r="J21" s="1" t="n">
        <x:v>0.8</x:v>
      </x:c>
      <x:c r="K21" s="18" t="n">
        <x:v>1.6020978089395</x:v>
      </x:c>
      <x:c r="L21" s="18" t="n">
        <x:v>1.4473198948291</x:v>
      </x:c>
      <x:c r="M21" s="18" t="n">
        <x:v>1.2925419807187</x:v>
      </x:c>
      <x:c r="N21" s="1"/>
      <x:c r="O21" s="1"/>
      <x:c r="P21" s="1"/>
      <x:c r="Q21" s="1"/>
      <x:c r="R21" s="1"/>
    </x:row>
    <x:row r="22" ht="23" customHeight="1">
      <x:c r="A22" s="1"/>
      <x:c r="B22" s="1"/>
      <x:c r="C22" s="1" t="str">
        <x:v>Cooling operating costs</x:v>
      </x:c>
      <x:c r="D22" s="1" t="str">
        <x:v>USD</x:v>
      </x:c>
      <x:c r="E22" s="11" t="n">
        <x:v>150000</x:v>
      </x:c>
      <x:c r="F22" s="12" t="n">
        <x:f>E22*0.9</x:f>
        <x:v>135000</x:v>
      </x:c>
      <x:c r="G22" s="12" t="n">
        <x:f>E22*1.1</x:f>
        <x:v>165000</x:v>
      </x:c>
      <x:c r="H22" s="12" t="n">
        <x:f>CHOOSE($E$5,E22,F22,G22)</x:f>
        <x:v>150000</x:v>
      </x:c>
      <x:c r="I22" s="1"/>
      <x:c r="J22" s="1" t="n">
        <x:v>0.9</x:v>
      </x:c>
      <x:c r="K22" s="18" t="n">
        <x:v>1.8260234881683</x:v>
      </x:c>
      <x:c r="L22" s="18" t="n">
        <x:v>1.651898334794</x:v>
      </x:c>
      <x:c r="M22" s="18" t="n">
        <x:v>1.4777731814198</x:v>
      </x:c>
      <x:c r="N22" s="1"/>
      <x:c r="O22" s="1"/>
      <x:c r="P22" s="1"/>
      <x:c r="Q22" s="1"/>
      <x:c r="R22" s="1"/>
    </x:row>
    <x:row r="23" ht="23" customHeight="1">
      <x:c r="A23" s="1"/>
      <x:c r="B23" s="1"/>
      <x:c r="C23" s="1" t="str">
        <x:v>Network operating costs</x:v>
      </x:c>
      <x:c r="D23" s="1" t="str">
        <x:v>USD</x:v>
      </x:c>
      <x:c r="E23" s="11" t="n">
        <x:v>200000</x:v>
      </x:c>
      <x:c r="F23" s="12" t="n">
        <x:f>E23*0.9</x:f>
        <x:v>180000</x:v>
      </x:c>
      <x:c r="G23" s="12" t="n">
        <x:f>E23*1.1</x:f>
        <x:v>220000.00000000003</x:v>
      </x:c>
      <x:c r="H23" s="12" t="n">
        <x:f>CHOOSE($E$5,E23,F23,G23)</x:f>
        <x:v>200000</x:v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 ht="23" customHeight="1">
      <x:c r="A24" s="1"/>
      <x:c r="B24" s="1"/>
      <x:c r="C24" s="1" t="str">
        <x:v>Facility operating costs</x:v>
      </x:c>
      <x:c r="D24" s="1" t="str">
        <x:v>USD</x:v>
      </x:c>
      <x:c r="E24" s="11" t="n">
        <x:v>250000</x:v>
      </x:c>
      <x:c r="F24" s="12" t="n">
        <x:f>E24*0.9</x:f>
        <x:v>225000</x:v>
      </x:c>
      <x:c r="G24" s="12" t="n">
        <x:f>E24*1.1</x:f>
        <x:v>275000</x:v>
      </x:c>
      <x:c r="H24" s="12" t="n">
        <x:f>CHOOSE($E$5,E24,F24,G24)</x:f>
        <x:v>250000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 ht="23" customHeight="1">
      <x:c r="A25" s="1"/>
      <x:c r="B25" s="1"/>
      <x:c r="C25" s="1" t="str">
        <x:v>Annual revenue growth</x:v>
      </x:c>
      <x:c r="D25" s="1" t="str">
        <x:v>%</x:v>
      </x:c>
      <x:c r="E25" s="13" t="n">
        <x:v>0.02</x:v>
      </x:c>
      <x:c r="F25" s="14" t="n">
        <x:f>E25</x:f>
        <x:v>0.02</x:v>
      </x:c>
      <x:c r="G25" s="14" t="n">
        <x:f>E25</x:f>
        <x:v>0.02</x:v>
      </x:c>
      <x:c r="H25" s="14" t="n">
        <x:f>CHOOSE($E$5,E25,F25,G25)</x:f>
        <x:v>0.02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 ht="23" customHeight="1">
      <x:c r="A26" s="1"/>
      <x:c r="B26" s="1"/>
      <x:c r="C26" s="1" t="str">
        <x:v>Project discount rate</x:v>
      </x:c>
      <x:c r="D26" s="1" t="str">
        <x:v>%</x:v>
      </x:c>
      <x:c r="E26" s="13" t="n">
        <x:v>0.1</x:v>
      </x:c>
      <x:c r="F26" s="14" t="n">
        <x:f>E26</x:f>
        <x:v>0.1</x:v>
      </x:c>
      <x:c r="G26" s="14" t="n">
        <x:f>E26</x:f>
        <x:v>0.1</x:v>
      </x:c>
      <x:c r="H26" s="14" t="n">
        <x:f>CHOOSE($E$5,E26,F26,G26)</x:f>
        <x:v>0.1</x:v>
      </x:c>
      <x:c r="I26" s="1"/>
      <x:c r="J26" s="1" t="str">
        <x:v>NPV · power multiplier across / revenue price down</x:v>
      </x:c>
      <x:c r="K26" s="1"/>
      <x:c r="L26" s="1"/>
      <x:c r="M26" s="1"/>
      <x:c r="N26" s="1"/>
      <x:c r="O26" s="1"/>
      <x:c r="P26" s="1"/>
      <x:c r="Q26" s="1"/>
      <x:c r="R26" s="1"/>
    </x:row>
    <x:row r="27" ht="23" customHeight="1">
      <x:c r="A27" s="1"/>
      <x:c r="B27" s="1"/>
      <x:c r="C27" s="1" t="str">
        <x:v>Debt / development budget</x:v>
      </x:c>
      <x:c r="D27" s="1" t="str">
        <x:v>%</x:v>
      </x:c>
      <x:c r="E27" s="13" t="n">
        <x:v>0.4</x:v>
      </x:c>
      <x:c r="F27" s="14" t="n">
        <x:f>E27</x:f>
        <x:v>0.4</x:v>
      </x:c>
      <x:c r="G27" s="14" t="n">
        <x:f>E27</x:f>
        <x:v>0.4</x:v>
      </x:c>
      <x:c r="H27" s="14" t="n">
        <x:f>CHOOSE($E$5,E27,F27,G27)</x:f>
        <x:v>0.4</x:v>
      </x:c>
      <x:c r="I27" s="1"/>
      <x:c r="J27" s="15" t="n">
        <x:f>Model!E74</x:f>
        <x:v>-12177305.005744815</x:v>
      </x:c>
      <x:c r="K27" s="1" t="n">
        <x:v>0.8</x:v>
      </x:c>
      <x:c r="L27" s="1" t="n">
        <x:v>1</x:v>
      </x:c>
      <x:c r="M27" s="1" t="n">
        <x:v>1.2</x:v>
      </x:c>
      <x:c r="N27" s="1"/>
      <x:c r="O27" s="1"/>
      <x:c r="P27" s="1"/>
      <x:c r="Q27" s="1"/>
      <x:c r="R27" s="1"/>
    </x:row>
    <x:row r="28" ht="23" customHeight="1">
      <x:c r="A28" s="1"/>
      <x:c r="B28" s="1"/>
      <x:c r="C28" s="1" t="str">
        <x:v>Interest rate</x:v>
      </x:c>
      <x:c r="D28" s="1" t="str">
        <x:v>%</x:v>
      </x:c>
      <x:c r="E28" s="13" t="n">
        <x:v>0.07</x:v>
      </x:c>
      <x:c r="F28" s="14" t="n">
        <x:f>MAX(0,E28-0.01)</x:f>
        <x:v>0.060000000000000005</x:v>
      </x:c>
      <x:c r="G28" s="14" t="n">
        <x:f>MIN(1,E28+0.01)</x:f>
        <x:v>0.08</x:v>
      </x:c>
      <x:c r="H28" s="14" t="n">
        <x:f>CHOOSE($E$5,E28,F28,G28)</x:f>
        <x:v>0.07</x:v>
      </x:c>
      <x:c r="I28" s="1"/>
      <x:c r="J28" s="1" t="n">
        <x:v>0.9</x:v>
      </x:c>
      <x:c r="K28" s="12" t="n">
        <x:f t="dataTable" ref="K28:M30" dt2D="1" r1="E11" r2="E10"/>
        <x:v>-15048896.285096414</x:v>
      </x:c>
      <x:c r="L28" s="12" t="n">
        <x:v>-19074595.305313915</x:v>
      </x:c>
      <x:c r="M28" s="12" t="n">
        <x:v>-23196875.091872524</x:v>
      </x:c>
      <x:c r="N28" s="1"/>
      <x:c r="O28" s="1"/>
      <x:c r="P28" s="1"/>
      <x:c r="Q28" s="1"/>
      <x:c r="R28" s="1"/>
    </x:row>
    <x:row r="29" ht="23" customHeight="1">
      <x:c r="A29" s="1"/>
      <x:c r="B29" s="1"/>
      <x:c r="C29" s="1" t="str">
        <x:v>Operating life</x:v>
      </x:c>
      <x:c r="D29" s="1" t="str">
        <x:v>years</x:v>
      </x:c>
      <x:c r="E29" s="7" t="n">
        <x:v>15</x:v>
      </x:c>
      <x:c r="F29" s="8" t="n">
        <x:f>E29</x:f>
        <x:v>15</x:v>
      </x:c>
      <x:c r="G29" s="8" t="n">
        <x:f>E29</x:f>
        <x:v>15</x:v>
      </x:c>
      <x:c r="H29" s="8" t="n">
        <x:f>CHOOSE($E$5,E29,F29,G29)</x:f>
        <x:v>15</x:v>
      </x:c>
      <x:c r="I29" s="1"/>
      <x:c r="J29" s="1" t="n">
        <x:v>1</x:v>
      </x:c>
      <x:c r="K29" s="12" t="n">
        <x:v>-8151605.985527307</x:v>
      </x:c>
      <x:c r="L29" s="12" t="n">
        <x:v>-12177305.005744815</x:v>
      </x:c>
      <x:c r="M29" s="12" t="n">
        <x:v>-16203004.025962323</x:v>
      </x:c>
      <x:c r="N29" s="1"/>
      <x:c r="O29" s="1"/>
      <x:c r="P29" s="1"/>
      <x:c r="Q29" s="1"/>
      <x:c r="R29" s="1"/>
    </x:row>
    <x:row r="30" ht="23" customHeight="1">
      <x:c r="A30" s="1"/>
      <x:c r="B30" s="1"/>
      <x:c r="C30" s="1" t="str">
        <x:v>Gross terminal value</x:v>
      </x:c>
      <x:c r="D30" s="1" t="str">
        <x:v>USD</x:v>
      </x:c>
      <x:c r="E30" s="11" t="n">
        <x:v>0</x:v>
      </x:c>
      <x:c r="F30" s="12" t="n">
        <x:f>E30</x:f>
        <x:v>0</x:v>
      </x:c>
      <x:c r="G30" s="12" t="n">
        <x:f>E30</x:f>
        <x:v>0</x:v>
      </x:c>
      <x:c r="H30" s="12" t="n">
        <x:f>CHOOSE($E$5,E30,F30,G30)</x:f>
        <x:v>0</x:v>
      </x:c>
      <x:c r="I30" s="1"/>
      <x:c r="J30" s="1" t="n">
        <x:v>1.1</x:v>
      </x:c>
      <x:c r="K30" s="12" t="n">
        <x:v>-1291548.7438094392</x:v>
      </x:c>
      <x:c r="L30" s="12" t="n">
        <x:v>-5280014.706175715</x:v>
      </x:c>
      <x:c r="M30" s="12" t="n">
        <x:v>-9305713.726393223</x:v>
      </x:c>
      <x:c r="N30" s="1"/>
      <x:c r="O30" s="1"/>
      <x:c r="P30" s="1"/>
      <x:c r="Q30" s="1"/>
      <x:c r="R30" s="1"/>
    </x:row>
    <x:row r="31" ht="23" customHeight="1">
      <x:c r="A31" s="1"/>
      <x:c r="B31" s="1"/>
      <x:c r="C31" s="1" t="str">
        <x:v>Tax rate</x:v>
      </x:c>
      <x:c r="D31" s="1" t="str">
        <x:v>%</x:v>
      </x:c>
      <x:c r="E31" s="13" t="n">
        <x:v>0.25</x:v>
      </x:c>
      <x:c r="F31" s="14" t="n">
        <x:f>E31</x:f>
        <x:v>0.25</x:v>
      </x:c>
      <x:c r="G31" s="14" t="n">
        <x:f>E31</x:f>
        <x:v>0.25</x:v>
      </x:c>
      <x:c r="H31" s="14" t="n">
        <x:f>CHOOSE($E$5,E31,F31,G31)</x:f>
        <x:v>0.25</x:v>
      </x:c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3" customHeight="1">
      <x:c r="A32" s="1"/>
      <x:c r="B32" s="1"/>
      <x:c r="C32" s="1" t="str">
        <x:v>Working capital / revenue</x:v>
      </x:c>
      <x:c r="D32" s="1" t="str">
        <x:v>%</x:v>
      </x:c>
      <x:c r="E32" s="13" t="n">
        <x:v>0.05</x:v>
      </x:c>
      <x:c r="F32" s="14" t="n">
        <x:f>E32</x:f>
        <x:v>0.05</x:v>
      </x:c>
      <x:c r="G32" s="14" t="n">
        <x:f>E32</x:f>
        <x:v>0.05</x:v>
      </x:c>
      <x:c r="H32" s="14" t="n">
        <x:f>CHOOSE($E$5,E32,F32,G32)</x:f>
        <x:v>0.05</x:v>
      </x:c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23" customHeight="1">
      <x:c r="A33" s="1"/>
      <x:c r="B33" s="1"/>
      <x:c r="C33" s="1" t="str">
        <x:v>Annual maintenance CapEx</x:v>
      </x:c>
      <x:c r="D33" s="1" t="str">
        <x:v>USD</x:v>
      </x:c>
      <x:c r="E33" s="11" t="n">
        <x:v>250000</x:v>
      </x:c>
      <x:c r="F33" s="12" t="n">
        <x:f>E33*0.9</x:f>
        <x:v>225000</x:v>
      </x:c>
      <x:c r="G33" s="12" t="n">
        <x:f>E33*1.1</x:f>
        <x:v>275000</x:v>
      </x:c>
      <x:c r="H33" s="12" t="n">
        <x:f>CHOOSE($E$5,E33,F33,G33)</x:f>
        <x:v>250000</x:v>
      </x:c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3" customHeight="1">
      <x:c r="A34" s="1"/>
      <x:c r="B34" s="1"/>
      <x:c r="C34" s="1" t="str">
        <x:v>Depreciable development share</x:v>
      </x:c>
      <x:c r="D34" s="1" t="str">
        <x:v>%</x:v>
      </x:c>
      <x:c r="E34" s="13" t="n">
        <x:v>0.8</x:v>
      </x:c>
      <x:c r="F34" s="14" t="n">
        <x:f>E34</x:f>
        <x:v>0.8</x:v>
      </x:c>
      <x:c r="G34" s="14" t="n">
        <x:f>E34</x:f>
        <x:v>0.8</x:v>
      </x:c>
      <x:c r="H34" s="14" t="n">
        <x:f>CHOOSE($E$5,E34,F34,G34)</x:f>
        <x:v>0.8</x:v>
      </x:c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3" customHeight="1">
      <x:c r="A35" s="1"/>
      <x:c r="B35" s="1"/>
      <x:c r="C35" s="1" t="str">
        <x:v>Debt term</x:v>
      </x:c>
      <x:c r="D35" s="1" t="str">
        <x:v>years</x:v>
      </x:c>
      <x:c r="E35" s="7" t="n">
        <x:v>10</x:v>
      </x:c>
      <x:c r="F35" s="8" t="n">
        <x:f>E35</x:f>
        <x:v>10</x:v>
      </x:c>
      <x:c r="G35" s="8" t="n">
        <x:f>E35</x:f>
        <x:v>10</x:v>
      </x:c>
      <x:c r="H35" s="8" t="n">
        <x:f>CHOOSE($E$5,E35,F35,G35)</x:f>
        <x:v>10</x:v>
      </x:c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3" customHeight="1">
      <x:c r="A36" s="1"/>
      <x:c r="B36" s="1"/>
      <x:c r="C36" s="1" t="str">
        <x:v>Principal grace</x:v>
      </x:c>
      <x:c r="D36" s="1" t="str">
        <x:v>years</x:v>
      </x:c>
      <x:c r="E36" s="7" t="n">
        <x:v>1</x:v>
      </x:c>
      <x:c r="F36" s="8" t="n">
        <x:f>E36</x:f>
        <x:v>1</x:v>
      </x:c>
      <x:c r="G36" s="8" t="n">
        <x:f>E36</x:f>
        <x:v>1</x:v>
      </x:c>
      <x:c r="H36" s="8" t="n">
        <x:f>CHOOSE($E$5,E36,F36,G36)</x:f>
        <x:v>1</x:v>
      </x:c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3" customHeight="1">
      <x:c r="A37" s="1"/>
      <x:c r="B37" s="1"/>
      <x:c r="C37" s="1" t="str">
        <x:v>Financing fees / debt</x:v>
      </x:c>
      <x:c r="D37" s="1" t="str">
        <x:v>%</x:v>
      </x:c>
      <x:c r="E37" s="13" t="n">
        <x:v>0.02</x:v>
      </x:c>
      <x:c r="F37" s="14" t="n">
        <x:f>E37</x:f>
        <x:v>0.02</x:v>
      </x:c>
      <x:c r="G37" s="14" t="n">
        <x:f>E37</x:f>
        <x:v>0.02</x:v>
      </x:c>
      <x:c r="H37" s="14" t="n">
        <x:f>CHOOSE($E$5,E37,F37,G37)</x:f>
        <x:v>0.02</x:v>
      </x:c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3" customHeight="1">
      <x:c r="A38" s="1"/>
      <x:c r="B38" s="1"/>
      <x:c r="C38" s="1" t="str">
        <x:v>Contingency</x:v>
      </x:c>
      <x:c r="D38" s="1" t="str">
        <x:v>%</x:v>
      </x:c>
      <x:c r="E38" s="13" t="n">
        <x:v>0.05</x:v>
      </x:c>
      <x:c r="F38" s="14" t="n">
        <x:f>E38</x:f>
        <x:v>0.05</x:v>
      </x:c>
      <x:c r="G38" s="14" t="n">
        <x:f>E38</x:f>
        <x:v>0.05</x:v>
      </x:c>
      <x:c r="H38" s="14" t="n">
        <x:f>CHOOSE($E$5,E38,F38,G38)</x:f>
        <x:v>0.05</x:v>
      </x:c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3" customHeight="1">
      <x:c r="A39" s="1"/>
      <x:c r="B39" s="1"/>
      <x:c r="C39" s="1" t="str">
        <x:v>Coverage screening threshold</x:v>
      </x:c>
      <x:c r="D39" s="1" t="str">
        <x:v>x</x:v>
      </x:c>
      <x:c r="E39" s="7" t="n">
        <x:v>1.2</x:v>
      </x:c>
      <x:c r="F39" s="8" t="n">
        <x:f>E39</x:f>
        <x:v>1.2</x:v>
      </x:c>
      <x:c r="G39" s="8" t="n">
        <x:f>E39</x:f>
        <x:v>1.2</x:v>
      </x:c>
      <x:c r="H39" s="8" t="n">
        <x:f>CHOOSE($E$5,E39,F39,G39)</x:f>
        <x:v>1.2</x:v>
      </x:c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3" customHeight="1">
      <x:c r="A40" s="1"/>
      <x:c r="B40" s="1"/>
      <x:c r="C40" s="1" t="str">
        <x:v>Utilization year 1</x:v>
      </x:c>
      <x:c r="D40" s="1" t="str">
        <x:v>%</x:v>
      </x:c>
      <x:c r="E40" s="13" t="n">
        <x:v>0.4</x:v>
      </x:c>
      <x:c r="F40" s="14" t="n">
        <x:f>MIN(1,E40+0.1)</x:f>
        <x:v>0.5</x:v>
      </x:c>
      <x:c r="G40" s="14" t="n">
        <x:f>MAX(0,E40-0.1)</x:f>
        <x:v>0.30000000000000004</x:v>
      </x:c>
      <x:c r="H40" s="14" t="n">
        <x:f>CHOOSE($E$5,E40,F40,G40)</x:f>
        <x:v>0.4</x:v>
      </x:c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3" customHeight="1">
      <x:c r="A41" s="1"/>
      <x:c r="B41" s="1"/>
      <x:c r="C41" s="1" t="str">
        <x:v>Utilization year 2</x:v>
      </x:c>
      <x:c r="D41" s="1" t="str">
        <x:v>%</x:v>
      </x:c>
      <x:c r="E41" s="13" t="n">
        <x:v>0.55</x:v>
      </x:c>
      <x:c r="F41" s="14" t="n">
        <x:f>MIN(1,E41+0.1)</x:f>
        <x:v>0.65</x:v>
      </x:c>
      <x:c r="G41" s="14" t="n">
        <x:f>MAX(0,E41-0.1)</x:f>
        <x:v>0.45000000000000007</x:v>
      </x:c>
      <x:c r="H41" s="14" t="n">
        <x:f>CHOOSE($E$5,E41,F41,G41)</x:f>
        <x:v>0.55</x:v>
      </x:c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3" customHeight="1">
      <x:c r="A42" s="1"/>
      <x:c r="B42" s="1"/>
      <x:c r="C42" s="1" t="str">
        <x:v>Utilization year 3</x:v>
      </x:c>
      <x:c r="D42" s="1" t="str">
        <x:v>%</x:v>
      </x:c>
      <x:c r="E42" s="13" t="n">
        <x:v>0.7</x:v>
      </x:c>
      <x:c r="F42" s="14" t="n">
        <x:f>MIN(1,E42+0.1)</x:f>
        <x:v>0.7999999999999999</x:v>
      </x:c>
      <x:c r="G42" s="14" t="n">
        <x:f>MAX(0,E42-0.1)</x:f>
        <x:v>0.6</x:v>
      </x:c>
      <x:c r="H42" s="14" t="n">
        <x:f>CHOOSE($E$5,E42,F42,G42)</x:f>
        <x:v>0.7</x:v>
      </x:c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3" customHeight="1">
      <x:c r="A43" s="1"/>
      <x:c r="B43" s="1"/>
      <x:c r="C43" s="1" t="str">
        <x:v>Utilization year 4</x:v>
      </x:c>
      <x:c r="D43" s="1" t="str">
        <x:v>%</x:v>
      </x:c>
      <x:c r="E43" s="13" t="n">
        <x:v>0.82</x:v>
      </x:c>
      <x:c r="F43" s="14" t="n">
        <x:f>MIN(1,E43+0.1)</x:f>
        <x:v>0.9199999999999999</x:v>
      </x:c>
      <x:c r="G43" s="14" t="n">
        <x:f>MAX(0,E43-0.1)</x:f>
        <x:v>0.72</x:v>
      </x:c>
      <x:c r="H43" s="14" t="n">
        <x:f>CHOOSE($E$5,E43,F43,G43)</x:f>
        <x:v>0.82</x:v>
      </x:c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3" customHeight="1">
      <x:c r="A44" s="1"/>
      <x:c r="B44" s="1"/>
      <x:c r="C44" s="1" t="str">
        <x:v>Utilization year 5</x:v>
      </x:c>
      <x:c r="D44" s="1" t="str">
        <x:v>%</x:v>
      </x:c>
      <x:c r="E44" s="13" t="n">
        <x:v>0.9</x:v>
      </x:c>
      <x:c r="F44" s="14" t="n">
        <x:f>MIN(1,E44+0.1)</x:f>
        <x:v>1</x:v>
      </x:c>
      <x:c r="G44" s="14" t="n">
        <x:f>MAX(0,E44-0.1)</x:f>
        <x:v>0.8</x:v>
      </x:c>
      <x:c r="H44" s="14" t="n">
        <x:f>CHOOSE($E$5,E44,F44,G44)</x:f>
        <x:v>0.9</x:v>
      </x:c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3" customHeight="1">
      <x:c r="A47" s="1"/>
      <x:c r="B47" s="1"/>
      <x:c r="C47" s="1" t="str">
        <x:v>Amortization: 1 equal principal · 2 annuity · 3 balloon</x:v>
      </x:c>
      <x:c r="D47" s="1"/>
      <x:c r="E47" s="3" t="n">
        <x:v>1</x:v>
      </x:c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32" customHeight="1">
      <x:c r="A49" s="1"/>
      <x:c r="B49" s="1"/>
      <x:c r="C49" s="6" t="str">
        <x:v>Development CapEx category</x:v>
      </x:c>
      <x:c r="D49" s="6" t="str">
        <x:v>Unit</x:v>
      </x:c>
      <x:c r="E49" s="6" t="str">
        <x:v>Base input</x:v>
      </x:c>
      <x:c r="F49" s="6" t="str">
        <x:v>Active cost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3" customHeight="1">
      <x:c r="A50" s="1"/>
      <x:c r="B50" s="1"/>
      <x:c r="C50" s="1" t="str">
        <x:v>Land / Site</x:v>
      </x:c>
      <x:c r="D50" s="1" t="str">
        <x:v>USD</x:v>
      </x:c>
      <x:c r="E50" s="11" t="n">
        <x:v>3000000</x:v>
      </x:c>
      <x:c r="F50" s="12" t="n">
        <x:f>E50*CHOOSE($E$5,1,0.9,1.1)*$E$9</x:f>
        <x:v>3000000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3" customHeight="1">
      <x:c r="A51" s="1"/>
      <x:c r="B51" s="1"/>
      <x:c r="C51" s="1" t="str">
        <x:v>Building</x:v>
      </x:c>
      <x:c r="D51" s="1" t="str">
        <x:v>USD</x:v>
      </x:c>
      <x:c r="E51" s="11" t="n">
        <x:v>8000000</x:v>
      </x:c>
      <x:c r="F51" s="12" t="n">
        <x:f>E51*CHOOSE($E$5,1,0.9,1.1)*$E$9</x:f>
        <x:v>8000000</x:v>
      </x:c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3" customHeight="1">
      <x:c r="A52" s="1"/>
      <x:c r="B52" s="1"/>
      <x:c r="C52" s="1" t="str">
        <x:v>Electrical Infrastructure</x:v>
      </x:c>
      <x:c r="D52" s="1" t="str">
        <x:v>USD</x:v>
      </x:c>
      <x:c r="E52" s="11" t="n">
        <x:v>10000000</x:v>
      </x:c>
      <x:c r="F52" s="12" t="n">
        <x:f>E52*CHOOSE($E$5,1,0.9,1.1)*$E$9</x:f>
        <x:v>10000000</x:v>
      </x:c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3" customHeight="1">
      <x:c r="A53" s="1"/>
      <x:c r="B53" s="1"/>
      <x:c r="C53" s="1" t="str">
        <x:v>UPS / Power Distribution</x:v>
      </x:c>
      <x:c r="D53" s="1" t="str">
        <x:v>USD</x:v>
      </x:c>
      <x:c r="E53" s="11" t="n">
        <x:v>4000000</x:v>
      </x:c>
      <x:c r="F53" s="12" t="n">
        <x:f>E53*CHOOSE($E$5,1,0.9,1.1)*$E$9</x:f>
        <x:v>4000000</x:v>
      </x:c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3" customHeight="1">
      <x:c r="A54" s="1"/>
      <x:c r="B54" s="1"/>
      <x:c r="C54" s="1" t="str">
        <x:v>Generators</x:v>
      </x:c>
      <x:c r="D54" s="1" t="str">
        <x:v>USD</x:v>
      </x:c>
      <x:c r="E54" s="11" t="n">
        <x:v>4000000</x:v>
      </x:c>
      <x:c r="F54" s="12" t="n">
        <x:f>E54*CHOOSE($E$5,1,0.9,1.1)*$E$9</x:f>
        <x:v>4000000</x:v>
      </x:c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3" customHeight="1">
      <x:c r="A55" s="1"/>
      <x:c r="B55" s="1"/>
      <x:c r="C55" s="1" t="str">
        <x:v>Cooling</x:v>
      </x:c>
      <x:c r="D55" s="1" t="str">
        <x:v>USD</x:v>
      </x:c>
      <x:c r="E55" s="11" t="n">
        <x:v>6000000</x:v>
      </x:c>
      <x:c r="F55" s="12" t="n">
        <x:f>E55*CHOOSE($E$5,1,0.9,1.1)*$E$9</x:f>
        <x:v>6000000</x:v>
      </x:c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3" customHeight="1">
      <x:c r="A56" s="1"/>
      <x:c r="B56" s="1"/>
      <x:c r="C56" s="1" t="str">
        <x:v>Network Infrastructure</x:v>
      </x:c>
      <x:c r="D56" s="1" t="str">
        <x:v>USD</x:v>
      </x:c>
      <x:c r="E56" s="11" t="n">
        <x:v>3000000</x:v>
      </x:c>
      <x:c r="F56" s="12" t="n">
        <x:f>E56*CHOOSE($E$5,1,0.9,1.1)*$E$9</x:f>
        <x:v>3000000</x:v>
      </x:c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3" customHeight="1">
      <x:c r="A57" s="1"/>
      <x:c r="B57" s="1"/>
      <x:c r="C57" s="1" t="str">
        <x:v>Racks</x:v>
      </x:c>
      <x:c r="D57" s="1" t="str">
        <x:v>USD</x:v>
      </x:c>
      <x:c r="E57" s="11" t="n">
        <x:v>2000000</x:v>
      </x:c>
      <x:c r="F57" s="12" t="n">
        <x:f>E57*CHOOSE($E$5,1,0.9,1.1)*$E$9</x:f>
        <x:v>2000000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3" customHeight="1">
      <x:c r="A58" s="1"/>
      <x:c r="B58" s="1"/>
      <x:c r="C58" s="1" t="str">
        <x:v>Security</x:v>
      </x:c>
      <x:c r="D58" s="1" t="str">
        <x:v>USD</x:v>
      </x:c>
      <x:c r="E58" s="11" t="n">
        <x:v>1000000</x:v>
      </x:c>
      <x:c r="F58" s="12" t="n">
        <x:f>E58*CHOOSE($E$5,1,0.9,1.1)*$E$9</x:f>
        <x:v>1000000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3" customHeight="1">
      <x:c r="A59" s="1"/>
      <x:c r="B59" s="1"/>
      <x:c r="C59" s="1" t="str">
        <x:v>Construction</x:v>
      </x:c>
      <x:c r="D59" s="1" t="str">
        <x:v>USD</x:v>
      </x:c>
      <x:c r="E59" s="11" t="n">
        <x:v>6000000</x:v>
      </x:c>
      <x:c r="F59" s="12" t="n">
        <x:f>E59*CHOOSE($E$5,1,0.9,1.1)*$E$9</x:f>
        <x:v>6000000</x:v>
      </x:c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3" customHeight="1">
      <x:c r="A60" s="1"/>
      <x:c r="B60" s="1"/>
      <x:c r="C60" s="1" t="str">
        <x:v>Engineering</x:v>
      </x:c>
      <x:c r="D60" s="1" t="str">
        <x:v>USD</x:v>
      </x:c>
      <x:c r="E60" s="11" t="n">
        <x:v>2000000</x:v>
      </x:c>
      <x:c r="F60" s="12" t="n">
        <x:f>E60*CHOOSE($E$5,1,0.9,1.1)*$E$9</x:f>
        <x:v>2000000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 ht="23" customHeight="1">
      <x:c r="A61" s="1"/>
      <x:c r="B61" s="1"/>
      <x:c r="C61" s="1" t="str">
        <x:v>Other</x:v>
      </x:c>
      <x:c r="D61" s="1" t="str">
        <x:v>USD</x:v>
      </x:c>
      <x:c r="E61" s="11" t="n">
        <x:v>1000000</x:v>
      </x:c>
      <x:c r="F61" s="12" t="n">
        <x:f>E61*CHOOSE($E$5,1,0.9,1.1)*$E$9</x:f>
        <x:v>1000000</x:v>
      </x:c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</x:sheetData>
  <x:dataValidations count="2">
    <x:dataValidation type="whole" operator="between" sqref="E5">
      <x:formula1>1</x:formula1>
      <x:formula2>3</x:formula2>
    </x:dataValidation>
    <x:dataValidation type="whole" operator="between" sqref="E47">
      <x:formula1>1</x:formula1>
      <x:formula2>3</x:formula2>
    </x:dataValidation>
  </x:dataValidations>
  <x:pageMargins left="0.7" right="0.7" top="0.75" bottom="0.75" header="0.3" footer="0.3"/>
  <x:drawing xmlns:r="http://schemas.openxmlformats.org/officeDocument/2006/relationships" r:id="R83e7a9779a7e47ca"/>
</x:worksheet>
</file>