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70897c8f8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9d05389d7d14c31"/>
    <x:sheet xmlns:r="http://schemas.openxmlformats.org/officeDocument/2006/relationships" name="Assumptions" sheetId="2" r:id="Rbfe9a0c54cf2475d"/>
    <x:sheet xmlns:r="http://schemas.openxmlformats.org/officeDocument/2006/relationships" name="Construction" sheetId="3" r:id="R12f016e7100547e4"/>
    <x:sheet xmlns:r="http://schemas.openxmlformats.org/officeDocument/2006/relationships" name="Operations" sheetId="4" r:id="R2745f634aa804b32"/>
    <x:sheet xmlns:r="http://schemas.openxmlformats.org/officeDocument/2006/relationships" name="Debt" sheetId="5" r:id="R8eb6acc667e348d6"/>
    <x:sheet xmlns:r="http://schemas.openxmlformats.org/officeDocument/2006/relationships" name="Returns" sheetId="6" r:id="R6d4fd516432340cf"/>
    <x:sheet xmlns:r="http://schemas.openxmlformats.org/officeDocument/2006/relationships" name="BI Export" sheetId="7" r:id="Rb4dcb80d0fd84421"/>
    <x:sheet xmlns:r="http://schemas.openxmlformats.org/officeDocument/2006/relationships" name="Audit" sheetId="8" r:id="R3736b600c0b04e2f"/>
    <x:sheet xmlns:r="http://schemas.openxmlformats.org/officeDocument/2006/relationships" name="Benchmarks" sheetId="9" r:id="Rd8ffe191c2df4662"/>
    <x:sheet xmlns:r="http://schemas.openxmlformats.org/officeDocument/2006/relationships" name="ReadMe" sheetId="10" r:id="R099e6cb72f1d4f7b"/>
    <x:sheet xmlns:r="http://schemas.openxmlformats.org/officeDocument/2006/relationships" name="Site" sheetId="11" r:id="R835308b4fe144c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2">
    <x:numFmt numFmtId="200" formatCode="0"/>
    <x:numFmt numFmtId="201" formatCode="0.00;(0.00);&quot;–&quot;"/>
    <x:numFmt numFmtId="202" formatCode="0.0%;(0.0%);&quot;–&quot;"/>
    <x:numFmt numFmtId="203" formatCode="$#,##0;($#,##0);&quot;–&quot;"/>
    <x:numFmt numFmtId="204" formatCode="0.00&quot;x&quot;"/>
    <x:numFmt numFmtId="205" formatCode="$0.0000"/>
    <x:numFmt numFmtId="206" formatCode="#,##0;(#,##0);&quot;–&quot;"/>
    <x:numFmt numFmtId="207" formatCode="$0.0,,&quot;M&quot;;($0.0,,&quot;M&quot;);&quot;–&quot;"/>
    <x:numFmt numFmtId="208" formatCode="0.00;(0.00);0.00"/>
    <x:numFmt numFmtId="209" formatCode="#,##0.00;(#,##0.00);&quot;–&quot;"/>
    <x:numFmt numFmtId="210" formatCode="#,##0"/>
    <x:numFmt numFmtId="211" formatCode="0.000"/>
  </x:numFmts>
  <x:fonts count="18">
    <x:font>
      <x:sz val="11"/>
      <x:name val="Carlito"/>
    </x:font>
    <x:font>
      <x:sz val="10"/>
      <x:color rgb="FF19282F"/>
      <x:name val="Arial"/>
    </x:font>
    <x:font>
      <x:b/>
      <x:sz val="16"/>
      <x:color rgb="FF19282F"/>
      <x:name val="Arial"/>
    </x:font>
    <x:font>
      <x:sz val="10"/>
      <x:color rgb="FF008040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19282F"/>
      <x:name val="Arial"/>
    </x:font>
    <x:font>
      <x:b/>
      <x:sz val="10"/>
      <x:color rgb="FF000000"/>
      <x:name val="Arial"/>
    </x:font>
    <x:font>
      <x:b/>
      <x:sz val="10"/>
      <x:color rgb="FF008040"/>
      <x:name val="Arial"/>
    </x:font>
    <x:font>
      <x:b/>
      <x:i/>
      <x:sz val="10"/>
      <x:color rgb="FF19282F"/>
      <x:name val="Arial"/>
    </x:font>
    <x:font>
      <x:b/>
      <x:i/>
      <x:sz val="10"/>
      <x:color rgb="FF008040"/>
      <x:name val="Arial"/>
    </x:font>
    <x:font>
      <x:b/>
      <x:sz val="10"/>
      <x:color rgb="FFA52B2B"/>
      <x:name val="Arial"/>
    </x:font>
    <x:font>
      <x:b/>
      <x:sz val="11"/>
      <x:color rgb="FFFFFFFF"/>
      <x:name val="Carlito"/>
    </x:font>
    <x:font>
      <x:sz val="11"/>
      <x:color rgb="FF008040"/>
      <x:name val="Carlito"/>
    </x:font>
    <x:font>
      <x:i/>
      <x:sz val="10"/>
      <x:color rgb="FF19282F"/>
      <x:name val="Arial"/>
    </x:font>
    <x:font>
      <x:i/>
      <x:sz val="10"/>
      <x:color rgb="FF000000"/>
      <x:name val="Arial"/>
    </x:font>
    <x:font>
      <x:i/>
      <x:sz val="10"/>
      <x:color rgb="FF0080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282F"/>
      </x:patternFill>
    </x:fill>
    <x:fill>
      <x:patternFill patternType="solid">
        <x:fgColor rgb="FFFFF4D9"/>
      </x:patternFill>
    </x:fill>
    <x:fill>
      <x:patternFill patternType="solid">
        <x:fgColor rgb="FFE8EDEB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B29A6C"/>
      </x:top>
      <x:bottom/>
      <x:diagonal/>
    </x:border>
  </x:borders>
  <x:cellStyleXfs count="1">
    <x:xf numFmtId="0" fontId="0" fillId="0" borderId="0"/>
  </x:cellStyleXfs>
  <x:cellXfs count="8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5" fontId="6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5" fontId="5" fillId="3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4" fontId="6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6" fontId="8" fillId="0" borderId="1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6" fontId="6" fillId="0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6" fontId="9" fillId="0" borderId="1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4" fontId="9" fillId="0" borderId="1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/>
    </x:xf>
    <x:xf numFmtId="204" fontId="11" fillId="0" borderId="1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13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 wrapText="1"/>
    </x:xf>
    <x:xf numFmtId="0" fontId="13" fillId="2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208" fontId="3" fillId="0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/>
    </x:xf>
    <x:xf numFmtId="209" fontId="3" fillId="0" borderId="0" xfId="0" applyNumberFormat="1" applyFont="1" applyFill="1" applyBorder="1" applyAlignment="1">
      <x:alignment vertical="center"/>
    </x:xf>
    <x:xf numFmtId="209" fontId="14" fillId="0" borderId="0" xfId="0" applyNumberFormat="1" applyFont="1" applyFill="1" applyBorder="1"/>
    <x:xf numFmtId="204" fontId="14" fillId="0" borderId="0" xfId="0" applyNumberFormat="1" applyFont="1" applyFill="1" applyBorder="1"/>
    <x:xf numFmtId="203" fontId="8" fillId="0" borderId="1" xfId="0" applyNumberFormat="1" applyFont="1" applyFill="1" applyBorder="1" applyAlignment="1">
      <x:alignment vertical="center"/>
    </x:xf>
    <x:xf numFmtId="203" fontId="9" fillId="0" borderId="1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/>
    </x:xf>
    <x:xf numFmtId="202" fontId="15" fillId="0" borderId="0" xfId="0" applyNumberFormat="1" applyFont="1" applyFill="1" applyBorder="1" applyAlignment="1">
      <x:alignment vertical="center"/>
    </x:xf>
    <x:xf numFmtId="204" fontId="15" fillId="0" borderId="0" xfId="0" applyNumberFormat="1" applyFont="1" applyFill="1" applyBorder="1" applyAlignment="1">
      <x:alignment vertical="center"/>
    </x:xf>
    <x:xf numFmtId="202" fontId="16" fillId="0" borderId="0" xfId="0" applyNumberFormat="1" applyFont="1" applyFill="1" applyBorder="1" applyAlignment="1">
      <x:alignment vertical="center"/>
    </x:xf>
    <x:xf numFmtId="204" fontId="16" fillId="0" borderId="0" xfId="0" applyNumberFormat="1" applyFont="1" applyFill="1" applyBorder="1" applyAlignment="1">
      <x:alignment vertical="center"/>
    </x:xf>
    <x:xf numFmtId="204" fontId="17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  <x:xf numFmtId="210" fontId="1" fillId="3" borderId="0" xfId="0" applyNumberFormat="1" applyFont="1" applyFill="1" applyBorder="1" applyAlignment="1">
      <x:alignment vertical="center"/>
    </x:xf>
    <x:xf numFmtId="210" fontId="5" fillId="3" borderId="0" xfId="0" applyNumberFormat="1" applyFont="1" applyFill="1" applyBorder="1" applyAlignment="1">
      <x:alignment vertical="center"/>
    </x:xf>
    <x:xf numFmtId="211" fontId="5" fillId="3" borderId="0" xfId="0" applyNumberFormat="1" applyFont="1" applyFill="1" applyBorder="1" applyAlignment="1">
      <x:alignment vertical="center"/>
    </x:xf>
    <x:xf numFmtId="211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3"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  <x:dxf>
      <x:font>
        <x:b/>
        <x:color rgb="FFA52B2B"/>
      </x:font>
      <x:fill>
        <x:patternFill patternType="solid">
          <x:bgColor rgb="FFFB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51ccbdbeb42fd" /><Relationship Type="http://schemas.openxmlformats.org/officeDocument/2006/relationships/theme" Target="/xl/theme/theme1.xml" Id="R69bbdab8a3114f53" /><Relationship Type="http://schemas.openxmlformats.org/officeDocument/2006/relationships/sharedStrings" Target="/xl/sharedStrings.xml" Id="Rdb760cc1323d4c70" /><Relationship Type="http://schemas.openxmlformats.org/officeDocument/2006/relationships/worksheet" Target="/xl/worksheets/sheet1.xml" Id="R49d05389d7d14c31" /><Relationship Type="http://schemas.openxmlformats.org/officeDocument/2006/relationships/worksheet" Target="/xl/worksheets/sheet2.xml" Id="Rbfe9a0c54cf2475d" /><Relationship Type="http://schemas.openxmlformats.org/officeDocument/2006/relationships/worksheet" Target="/xl/worksheets/sheet3.xml" Id="R12f016e7100547e4" /><Relationship Type="http://schemas.openxmlformats.org/officeDocument/2006/relationships/worksheet" Target="/xl/worksheets/sheet4.xml" Id="R2745f634aa804b32" /><Relationship Type="http://schemas.openxmlformats.org/officeDocument/2006/relationships/worksheet" Target="/xl/worksheets/sheet5.xml" Id="R8eb6acc667e348d6" /><Relationship Type="http://schemas.openxmlformats.org/officeDocument/2006/relationships/worksheet" Target="/xl/worksheets/sheet6.xml" Id="R6d4fd516432340cf" /><Relationship Type="http://schemas.openxmlformats.org/officeDocument/2006/relationships/worksheet" Target="/xl/worksheets/sheet7.xml" Id="Rb4dcb80d0fd84421" /><Relationship Type="http://schemas.openxmlformats.org/officeDocument/2006/relationships/worksheet" Target="/xl/worksheets/sheet8.xml" Id="R3736b600c0b04e2f" /><Relationship Type="http://schemas.openxmlformats.org/officeDocument/2006/relationships/worksheet" Target="/xl/worksheets/sheet9.xml" Id="Rd8ffe191c2df4662" /><Relationship Type="http://schemas.openxmlformats.org/officeDocument/2006/relationships/worksheet" Target="/xl/worksheets/sheet10.xml" Id="R099e6cb72f1d4f7b" /><Relationship Type="http://schemas.openxmlformats.org/officeDocument/2006/relationships/worksheet" Target="/xl/worksheets/sheet11.xml" Id="R835308b4fe144c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7ddf5c1eff44db8" /><Relationship Type="http://schemas.openxmlformats.org/officeDocument/2006/relationships/chart" Target="/xl/drawings/charts/chart1.xml" Id="R4f2ce09f1fdb4b7d" /><Relationship Type="http://schemas.openxmlformats.org/officeDocument/2006/relationships/chart" Target="/xl/drawings/charts/chart2.xml" Id="R617f5b126e6240b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Revenue and EBITDA (USD millions)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B29A6C"/>
            </a:solidFill>
            <a:ln xmlns:a="http://schemas.openxmlformats.org/drawingml/2006/main" w="19050">
              <a:solidFill>
                <a:srgbClr val="B29A6C"/>
              </a:solidFill>
              <a:prstDash val="solid"/>
            </a:ln>
          </c:spPr>
          <c:marker>
            <c:symbol val="none"/>
          </c:marker>
          <c:cat>
            <c:strRef>
              <c:f>'Summary'!$C$44:$C$54</c:f>
              <c:strCache>
                <c:ptCount val="0"/>
              </c:strCache>
            </c:strRef>
          </c:cat>
          <c:val>
            <c:numRef>
              <c:f>'Summary'!$D$44:$D$54</c:f>
              <c:numCache>
                <c:formatCode>$0.0,,"M";($0.0,,"M");"–"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EBITDA</c:v>
          </c:tx>
          <c:spPr>
            <a:solidFill xmlns:a="http://schemas.openxmlformats.org/drawingml/2006/main">
              <a:srgbClr val="19282F"/>
            </a:solidFill>
            <a:ln xmlns:a="http://schemas.openxmlformats.org/drawingml/2006/main" w="19050">
              <a:solidFill>
                <a:srgbClr val="19282F"/>
              </a:solidFill>
              <a:prstDash val="solid"/>
            </a:ln>
          </c:spPr>
          <c:marker>
            <c:symbol val="none"/>
          </c:marker>
          <c:cat>
            <c:strRef>
              <c:f>'Summary'!$C$44:$C$54</c:f>
              <c:strCache>
                <c:ptCount val="0"/>
              </c:strCache>
            </c:strRef>
          </c:cat>
          <c:val>
            <c:numRef>
              <c:f>'Summary'!$E$44:$E$54</c:f>
              <c:numCache>
                <c:formatCode>$0.0,,"M";($0.0,,"M");"–"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CFADS and debt service (USD millions)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CFADS</c:v>
          </c:tx>
          <c:spPr>
            <a:solidFill xmlns:a="http://schemas.openxmlformats.org/drawingml/2006/main">
              <a:srgbClr val="19282F"/>
            </a:solidFill>
            <a:ln xmlns:a="http://schemas.openxmlformats.org/drawingml/2006/main" w="19050">
              <a:solidFill>
                <a:srgbClr val="19282F"/>
              </a:solidFill>
              <a:prstDash val="solid"/>
            </a:ln>
          </c:spPr>
          <c:marker>
            <c:symbol val="none"/>
          </c:marker>
          <c:cat>
            <c:strRef>
              <c:f>'Summary'!$C$44:$C$54</c:f>
              <c:strCache>
                <c:ptCount val="0"/>
              </c:strCache>
            </c:strRef>
          </c:cat>
          <c:val>
            <c:numRef>
              <c:f>'Summary'!$F$44:$F$54</c:f>
              <c:numCache>
                <c:formatCode>$0.0,,"M";($0.0,,"M");"–"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Debt service</c:v>
          </c:tx>
          <c:spPr>
            <a:solidFill xmlns:a="http://schemas.openxmlformats.org/drawingml/2006/main">
              <a:srgbClr val="B29A6C"/>
            </a:solidFill>
            <a:ln xmlns:a="http://schemas.openxmlformats.org/drawingml/2006/main" w="19050">
              <a:solidFill>
                <a:srgbClr val="B29A6C"/>
              </a:solidFill>
              <a:prstDash val="solid"/>
            </a:ln>
          </c:spPr>
          <c:marker>
            <c:symbol val="none"/>
          </c:marker>
          <c:cat>
            <c:strRef>
              <c:f>'Summary'!$C$44:$C$54</c:f>
              <c:strCache>
                <c:ptCount val="0"/>
              </c:strCache>
            </c:strRef>
          </c:cat>
          <c:val>
            <c:numRef>
              <c:f>'Summary'!$G$44:$G$54</c:f>
              <c:numCache>
                <c:formatCode>$0.0,,"M";($0.0,,"M");"–"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7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f2ce09f1fdb4b7d"/>
        </a:graphicData>
      </a:graphic>
    </xdr:graphicFrame>
    <xdr:clientData/>
  </xdr:twoCellAnchor>
  <xdr:twoCellAnchor>
    <xdr:from>
      <xdr:col>6</xdr:col>
      <xdr:colOff>0</xdr:colOff>
      <xdr:row>25</xdr:row>
      <xdr:rowOff>0</xdr:rowOff>
    </xdr:from>
    <xdr:to>
      <xdr:col>14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17f5b126e6240b4"/>
        </a:graphicData>
      </a:graphic>
    </xdr:graphicFrame>
    <xdr:clientData/>
  </xdr:twoCellAnchor>
  <xdr:oneCellAnchor>
    <xdr:from>
      <xdr:col>10</xdr:col>
      <xdr:colOff>0</xdr:colOff>
      <xdr:row>1</xdr:row>
      <xdr:rowOff>0</xdr:rowOff>
    </xdr:from>
    <xdr:ext cx="2524125" cy="866775"/>
    <xdr:pic>
      <xdr:nvPicPr>
        <xdr:cNvPr id="3" name="cd1006fb-8eae-47cf-994c-e15cc62a06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ddf5c1eff44db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a3834f89f4c4baa" /></Relationships>
</file>

<file path=xl/worksheets/sheet1.xml><?xml version="1.0" encoding="utf-8"?>
<x:worksheet xmlns:x="http://schemas.openxmlformats.org/spreadsheetml/2006/main">
  <x:sheetPr>
    <x:tabColor rgb="FF19282F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9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Lee Data Center Site Case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/>
      <x:c r="B8" s="2"/>
      <x:c r="C8" s="2" t="str">
        <x:v>Development CapEx</x:v>
      </x:c>
      <x:c r="D8" s="2"/>
      <x:c r="E8" s="20" t="n">
        <x:f>SUM('Construction'!D10:N10)</x:f>
        <x:v>145492000</x:v>
      </x:c>
      <x:c r="F8" s="2"/>
      <x:c r="G8" s="2"/>
      <x:c r="H8" s="2"/>
      <x:c r="I8" s="2"/>
      <x:c r="J8" s="2"/>
      <x:c r="K8" s="2"/>
      <x:c r="L8" s="2"/>
      <x:c r="M8" s="2"/>
      <x:c r="N8" s="2"/>
    </x:row>
    <x:row r="9" ht="22" customHeight="1">
      <x:c r="A9" s="2"/>
      <x:c r="B9" s="2"/>
      <x:c r="C9" s="2" t="str">
        <x:v>Debt commitment</x:v>
      </x:c>
      <x:c r="D9" s="2"/>
      <x:c r="E9" s="20" t="n">
        <x:f>'Debt'!D8</x:f>
        <x:v>65471400</x:v>
      </x:c>
      <x:c r="F9" s="2"/>
      <x:c r="G9" s="2"/>
      <x:c r="H9" s="2"/>
      <x:c r="I9" s="2"/>
      <x:c r="J9" s="2"/>
      <x:c r="K9" s="2"/>
      <x:c r="L9" s="2"/>
      <x:c r="M9" s="2"/>
      <x:c r="N9" s="2"/>
    </x:row>
    <x:row r="10" ht="22" customHeight="1">
      <x:c r="A10" s="2"/>
      <x:c r="B10" s="2"/>
      <x:c r="C10" s="73" t="str">
        <x:v>Equity IRR</x:v>
      </x:c>
      <x:c r="D10" s="73"/>
      <x:c r="E10" s="74" t="n">
        <x:f>'Returns'!D34</x:f>
        <x:v>0.1618111819228646</x:v>
      </x:c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2" customHeight="1">
      <x:c r="A11" s="2"/>
      <x:c r="B11" s="2"/>
      <x:c r="C11" s="73" t="str">
        <x:v>Equity MOIC</x:v>
      </x:c>
      <x:c r="D11" s="73"/>
      <x:c r="E11" s="75" t="n">
        <x:f>'Returns'!D35</x:f>
        <x:v>3.4950714416732986</x:v>
      </x:c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2" customHeight="1">
      <x:c r="A12" s="2"/>
      <x:c r="B12" s="2"/>
      <x:c r="C12" s="73" t="str">
        <x:v>Minimum DSCR</x:v>
      </x:c>
      <x:c r="D12" s="73"/>
      <x:c r="E12" s="75" t="n">
        <x:f>'Returns'!D39</x:f>
        <x:v>0.5044384034210088</x:v>
      </x:c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2" customHeight="1">
      <x:c r="A13" s="2"/>
      <x:c r="B13" s="2"/>
      <x:c r="C13" s="73" t="str">
        <x:v>Covenant hurdle</x:v>
      </x:c>
      <x:c r="D13" s="73"/>
      <x:c r="E13" s="75" t="n">
        <x:f>'Assumptions'!D28</x:f>
        <x:v>1.3</x:v>
      </x:c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2" customHeight="1">
      <x:c r="A14" s="2"/>
      <x:c r="B14" s="2"/>
      <x:c r="C14" s="2" t="str">
        <x:v>Breach years</x:v>
      </x:c>
      <x:c r="D14" s="2"/>
      <x:c r="E14" s="5" t="n">
        <x:f>'Returns'!D40</x:f>
        <x:v>6</x:v>
      </x:c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2" customHeight="1">
      <x:c r="A15" s="2"/>
      <x:c r="B15" s="2"/>
      <x:c r="C15" s="2" t="str">
        <x:v>Equity NPV</x:v>
      </x:c>
      <x:c r="D15" s="2"/>
      <x:c r="E15" s="20" t="n">
        <x:f>'Returns'!D36</x:f>
        <x:v>6846060.088794507</x:v>
      </x:c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2" customHeight="1">
      <x:c r="A16" s="2"/>
      <x:c r="B16" s="2"/>
      <x:c r="C16" s="2" t="str">
        <x:v>Equity contributions</x:v>
      </x:c>
      <x:c r="D16" s="2"/>
      <x:c r="E16" s="20" t="n">
        <x:f>'Returns'!D41</x:f>
        <x:v>94709162.09528461</x:v>
      </x:c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2" customHeight="1">
      <x:c r="A17" s="2"/>
      <x:c r="B17" s="2"/>
      <x:c r="C17" s="2" t="str">
        <x:v>Equity distributions</x:v>
      </x:c>
      <x:c r="D17" s="2"/>
      <x:c r="E17" s="20" t="n">
        <x:f>'Returns'!D42</x:f>
        <x:v>331015287.70403653</x:v>
      </x:c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2" customHeight="1">
      <x:c r="A18" s="2"/>
      <x:c r="B18" s="2"/>
      <x:c r="C18" s="2" t="str">
        <x:v>Debt-service shortfall</x:v>
      </x:c>
      <x:c r="D18" s="2"/>
      <x:c r="E18" s="20" t="n">
        <x:f>'Returns'!D43</x:f>
        <x:v>11198146.095284613</x:v>
      </x:c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2" customHeight="1">
      <x:c r="A19" s="2"/>
      <x:c r="B19" s="2"/>
      <x:c r="C19" s="73" t="str">
        <x:v>Project IRR</x:v>
      </x:c>
      <x:c r="D19" s="73"/>
      <x:c r="E19" s="74" t="n">
        <x:f>'Returns'!D37</x:f>
        <x:v>0.14296450112117237</x:v>
      </x:c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2" customHeight="1">
      <x:c r="A20" s="2"/>
      <x:c r="B20" s="2"/>
      <x:c r="C20" s="73" t="str">
        <x:v>Exit share of distributions</x:v>
      </x:c>
      <x:c r="D20" s="73"/>
      <x:c r="E20" s="74" t="n">
        <x:f>'Returns'!D47</x:f>
        <x:v>0.9454033896368109</x:v>
      </x:c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57" t="str">
        <x:f>IF(E14&gt;0,"Debt structure requires revision","Coverage clears the entered covenant")</x:f>
        <x:v>Debt structure requires revision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/>
      <x:c r="B24" s="2"/>
      <x:c r="C24" s="2" t="str">
        <x:v>Annual model. See ReadMe for tax, timing and financing limitations.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2" customHeight="1">
      <x:c r="A26" s="2"/>
      <x:c r="B26" s="2"/>
      <x:c r="C26" s="2" t="str">
        <x:v>Sources and uses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2" customHeight="1">
      <x:c r="A28" s="2"/>
      <x:c r="B28" s="2"/>
      <x:c r="C28" s="2" t="str">
        <x:v>Development CapEx</x:v>
      </x:c>
      <x:c r="D28" s="2"/>
      <x:c r="E28" s="20" t="n">
        <x:f>SUM('Construction'!D10:N10)</x:f>
        <x:v>145492000</x:v>
      </x:c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 t="str">
        <x:v>Financing fee</x:v>
      </x:c>
      <x:c r="D29" s="2"/>
      <x:c r="E29" s="20" t="n">
        <x:f>SUM('Debt'!D24:N24)</x:f>
        <x:v>982071</x:v>
      </x:c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2" customHeight="1">
      <x:c r="A30" s="2"/>
      <x:c r="B30" s="2"/>
      <x:c r="C30" s="2" t="str">
        <x:v>Pre-operation interest</x:v>
      </x:c>
      <x:c r="D30" s="2"/>
      <x:c r="E30" s="20" t="n">
        <x:f>SUMIFS('Debt'!D14:N14,'Operations'!D46:N46,0)</x:f>
        <x:v>2508345.0000000005</x:v>
      </x:c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2" customHeight="1">
      <x:c r="A31" s="2"/>
      <x:c r="B31" s="2"/>
      <x:c r="C31" s="2" t="str">
        <x:v>Total funding uses</x:v>
      </x:c>
      <x:c r="D31" s="2"/>
      <x:c r="E31" s="20" t="n">
        <x:f>SUM(E28:E30)</x:f>
        <x:v>148982416</x:v>
      </x:c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 t="str">
        <x:v>Construction debt</x:v>
      </x:c>
      <x:c r="D32" s="2"/>
      <x:c r="E32" s="20" t="n">
        <x:f>'Debt'!D8</x:f>
        <x:v>65471400</x:v>
      </x:c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 t="str">
        <x:v>Equity funding for these uses</x:v>
      </x:c>
      <x:c r="D33" s="2"/>
      <x:c r="E33" s="20" t="n">
        <x:f>E31-E32</x:f>
        <x:v>83511016</x:v>
      </x:c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 t="str">
        <x:v>Funding equity differs from annual net contributions.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 t="str">
        <x:v>Operating cash can fund later construction.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" t="str">
        <x:v>Hypothetical Midlothian site case. No site or financing is secured.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 t="str">
        <x:v>DSCR-implied debt capacity</x:v>
      </x:c>
      <x:c r="D40" s="2"/>
      <x:c r="E40" s="20" t="n">
        <x:f>'Returns'!D49</x:f>
        <x:v>25404837.296721715</x:v>
      </x:c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9" t="str">
        <x:v>Year</x:v>
      </x:c>
      <x:c r="D43" s="9" t="str">
        <x:v>Revenue</x:v>
      </x:c>
      <x:c r="E43" s="9" t="str">
        <x:v>EBITDA</x:v>
      </x:c>
      <x:c r="F43" s="9" t="str">
        <x:v>CFADS</x:v>
      </x:c>
      <x:c r="G43" s="9" t="str">
        <x:v>Debt service</x:v>
      </x:c>
      <x:c r="H43" s="9" t="str">
        <x:v>Closing debt</x:v>
      </x:c>
      <x:c r="I43" s="9" t="str">
        <x:v>Equity CF</x:v>
      </x:c>
      <x:c r="J43" s="9" t="str">
        <x:v>DSCR</x:v>
      </x:c>
      <x:c r="K43" s="2"/>
      <x:c r="L43" s="2"/>
      <x:c r="M43" s="2"/>
      <x:c r="N43" s="2"/>
    </x:row>
    <x:row r="44" ht="22" customHeight="1">
      <x:c r="A44" s="2"/>
      <x:c r="B44" s="2"/>
      <x:c r="C44" s="5" t="n">
        <x:f>'Assumptions'!D84+'Assumptions'!$D$9</x:f>
        <x:v>2026</x:v>
      </x:c>
      <x:c r="D44" s="58" t="n">
        <x:f>'Operations'!D49</x:f>
        <x:v>0</x:v>
      </x:c>
      <x:c r="E44" s="58" t="n">
        <x:f>'Operations'!D52</x:f>
        <x:v>0</x:v>
      </x:c>
      <x:c r="F44" s="58" t="n">
        <x:f>'Debt'!D20</x:f>
        <x:v>0</x:v>
      </x:c>
      <x:c r="G44" s="58" t="n">
        <x:f>'Debt'!D19</x:f>
        <x:v>637623.0000000001</x:v>
      </x:c>
      <x:c r="H44" s="58" t="n">
        <x:f>'Debt'!D18</x:f>
        <x:v>18217800</x:v>
      </x:c>
      <x:c r="I44" s="58" t="n">
        <x:f>'Returns'!D20</x:f>
        <x:v>-23885894</x:v>
      </x:c>
      <x:c r="J44" s="23" t="str">
        <x:f>'Debt'!D21</x:f>
        <x:v>n.a.</x:v>
      </x:c>
      <x:c r="K44" s="2"/>
      <x:c r="L44" s="2"/>
      <x:c r="M44" s="2"/>
      <x:c r="N44" s="2"/>
    </x:row>
    <x:row r="45" ht="22" customHeight="1">
      <x:c r="A45" s="2"/>
      <x:c r="B45" s="2"/>
      <x:c r="C45" s="5" t="n">
        <x:f>'Assumptions'!E84+'Assumptions'!$D$9</x:f>
        <x:v>2027</x:v>
      </x:c>
      <x:c r="D45" s="58" t="n">
        <x:f>'Operations'!E49</x:f>
        <x:v>0</x:v>
      </x:c>
      <x:c r="E45" s="58" t="n">
        <x:f>'Operations'!E52</x:f>
        <x:v>0</x:v>
      </x:c>
      <x:c r="F45" s="58" t="n">
        <x:f>'Debt'!E20</x:f>
        <x:v>0</x:v>
      </x:c>
      <x:c r="G45" s="58" t="n">
        <x:f>'Debt'!E19</x:f>
        <x:v>1870722.0000000002</x:v>
      </x:c>
      <x:c r="H45" s="58" t="n">
        <x:f>'Debt'!E18</x:f>
        <x:v>35231400</x:v>
      </x:c>
      <x:c r="I45" s="58" t="n">
        <x:f>'Returns'!E20</x:f>
        <x:v>-22665122</x:v>
      </x:c>
      <x:c r="J45" s="23" t="str">
        <x:f>'Debt'!E21</x:f>
        <x:v>n.a.</x:v>
      </x:c>
      <x:c r="K45" s="2"/>
      <x:c r="L45" s="2"/>
      <x:c r="M45" s="2"/>
      <x:c r="N45" s="2"/>
    </x:row>
    <x:row r="46" ht="22" customHeight="1">
      <x:c r="A46" s="2"/>
      <x:c r="B46" s="2"/>
      <x:c r="C46" s="5" t="n">
        <x:f>'Assumptions'!F84+'Assumptions'!$D$9</x:f>
        <x:v>2028</x:v>
      </x:c>
      <x:c r="D46" s="58" t="n">
        <x:f>'Operations'!F49</x:f>
        <x:v>5534999.999999999</x:v>
      </x:c>
      <x:c r="E46" s="58" t="n">
        <x:f>'Operations'!F52</x:f>
        <x:v>2815879.999999999</x:v>
      </x:c>
      <x:c r="F46" s="58" t="n">
        <x:f>'Debt'!F20</x:f>
        <x:v>1585159.999999999</x:v>
      </x:c>
      <x:c r="G46" s="58" t="n">
        <x:f>'Debt'!F19</x:f>
        <x:v>2889558.0000000005</x:v>
      </x:c>
      <x:c r="H46" s="58" t="n">
        <x:f>'Debt'!F18</x:f>
        <x:v>47327400</x:v>
      </x:c>
      <x:c r="I46" s="58" t="n">
        <x:f>'Returns'!F20</x:f>
        <x:v>-16088398</x:v>
      </x:c>
      <x:c r="J46" s="23" t="n">
        <x:f>'Debt'!F21</x:f>
        <x:v>0.5485821706987708</x:v>
      </x:c>
      <x:c r="K46" s="2"/>
      <x:c r="L46" s="2"/>
      <x:c r="M46" s="2"/>
      <x:c r="N46" s="2"/>
    </x:row>
    <x:row r="47" ht="22" customHeight="1">
      <x:c r="A47" s="2"/>
      <x:c r="B47" s="2"/>
      <x:c r="C47" s="5" t="n">
        <x:f>'Assumptions'!G84+'Assumptions'!$D$9</x:f>
        <x:v>2029</x:v>
      </x:c>
      <x:c r="D47" s="58" t="n">
        <x:f>'Operations'!G49</x:f>
        <x:v>9219234.374999998</x:v>
      </x:c>
      <x:c r="E47" s="58" t="n">
        <x:f>'Operations'!G52</x:f>
        <x:v>5613164.374999998</x:v>
      </x:c>
      <x:c r="F47" s="58" t="n">
        <x:f>'Debt'!G20</x:f>
        <x:v>3775661.562499998</x:v>
      </x:c>
      <x:c r="G47" s="58" t="n">
        <x:f>'Debt'!G19</x:f>
        <x:v>3947958.0000000005</x:v>
      </x:c>
      <x:c r="H47" s="58" t="n">
        <x:f>'Debt'!G18</x:f>
        <x:v>65471400</x:v>
      </x:c>
      <x:c r="I47" s="58" t="n">
        <x:f>'Returns'!G20</x:f>
        <x:v>-22348296.4375</x:v>
      </x:c>
      <x:c r="J47" s="23" t="n">
        <x:f>'Debt'!G21</x:f>
        <x:v>0.9563580875227137</x:v>
      </x:c>
      <x:c r="K47" s="2"/>
      <x:c r="L47" s="2"/>
      <x:c r="M47" s="2"/>
      <x:c r="N47" s="2"/>
    </x:row>
    <x:row r="48" ht="22" customHeight="1">
      <x:c r="A48" s="2"/>
      <x:c r="B48" s="2"/>
      <x:c r="C48" s="5" t="n">
        <x:f>'Assumptions'!H84+'Assumptions'!$D$9</x:f>
        <x:v>2030</x:v>
      </x:c>
      <x:c r="D48" s="58" t="n">
        <x:f>'Operations'!H49</x:f>
        <x:v>17445628.124999993</x:v>
      </x:c>
      <x:c r="E48" s="58" t="n">
        <x:f>'Operations'!H52</x:f>
        <x:v>10588268.124999994</x:v>
      </x:c>
      <x:c r="F48" s="58" t="n">
        <x:f>'Debt'!H20</x:f>
        <x:v>7029881.406249996</x:v>
      </x:c>
      <x:c r="G48" s="58" t="n">
        <x:f>'Debt'!H19</x:f>
        <x:v>13936055.142857144</x:v>
      </x:c>
      <x:c r="H48" s="58" t="n">
        <x:f>'Debt'!H18</x:f>
        <x:v>56118342.85714286</x:v>
      </x:c>
      <x:c r="I48" s="58" t="n">
        <x:f>'Returns'!H20</x:f>
        <x:v>-6906173.736607147</x:v>
      </x:c>
      <x:c r="J48" s="23" t="n">
        <x:f>'Debt'!H21</x:f>
        <x:v>0.5044384034210088</x:v>
      </x:c>
      <x:c r="K48" s="2"/>
      <x:c r="L48" s="2"/>
      <x:c r="M48" s="2"/>
      <x:c r="N48" s="2"/>
    </x:row>
    <x:row r="49" ht="22" customHeight="1">
      <x:c r="A49" s="2"/>
      <x:c r="B49" s="2"/>
      <x:c r="C49" s="5" t="n">
        <x:f>'Assumptions'!I84+'Assumptions'!$D$9</x:f>
        <x:v>2031</x:v>
      </x:c>
      <x:c r="D49" s="58" t="n">
        <x:f>'Operations'!I49</x:f>
        <x:v>23097284.736328118</x:v>
      </x:c>
      <x:c r="E49" s="58" t="n">
        <x:f>'Operations'!I52</x:f>
        <x:v>14998194.736328118</x:v>
      </x:c>
      <x:c r="F49" s="58" t="n">
        <x:f>'Debt'!I20</x:f>
        <x:v>10466063.221679682</x:v>
      </x:c>
      <x:c r="G49" s="58" t="n">
        <x:f>'Debt'!I19</x:f>
        <x:v>13281341.142857144</x:v>
      </x:c>
      <x:c r="H49" s="58" t="n">
        <x:f>'Debt'!I18</x:f>
        <x:v>46765285.71428572</x:v>
      </x:c>
      <x:c r="I49" s="58" t="n">
        <x:f>'Returns'!I20</x:f>
        <x:v>-2815277.9211774617</x:v>
      </x:c>
      <x:c r="J49" s="23" t="n">
        <x:f>'Debt'!I21</x:f>
        <x:v>0.7880275876588299</x:v>
      </x:c>
      <x:c r="K49" s="2"/>
      <x:c r="L49" s="2"/>
      <x:c r="M49" s="2"/>
      <x:c r="N49" s="2"/>
    </x:row>
    <x:row r="50" ht="22" customHeight="1">
      <x:c r="A50" s="2"/>
      <x:c r="B50" s="2"/>
      <x:c r="C50" s="5" t="n">
        <x:f>'Assumptions'!J84+'Assumptions'!$D$9</x:f>
        <x:v>2032</x:v>
      </x:c>
      <x:c r="D50" s="58" t="n">
        <x:f>'Operations'!J49</x:f>
        <x:v>26729519.029541</x:v>
      </x:c>
      <x:c r="E50" s="58" t="n">
        <x:f>'Operations'!J52</x:f>
        <x:v>17920869.029541</x:v>
      </x:c>
      <x:c r="F50" s="58" t="n">
        <x:f>'Debt'!J20</x:f>
        <x:v>12759040.057495106</x:v>
      </x:c>
      <x:c r="G50" s="58" t="n">
        <x:f>'Debt'!J19</x:f>
        <x:v>12626627.142857144</x:v>
      </x:c>
      <x:c r="H50" s="58" t="n">
        <x:f>'Debt'!J18</x:f>
        <x:v>37412228.571428575</x:v>
      </x:c>
      <x:c r="I50" s="58" t="n">
        <x:f>'Returns'!J20</x:f>
        <x:v>132412.91463796236</x:v>
      </x:c>
      <x:c r="J50" s="23" t="n">
        <x:f>'Debt'!J21</x:f>
        <x:v>1.0104868000884042</x:v>
      </x:c>
      <x:c r="K50" s="2"/>
      <x:c r="L50" s="2"/>
      <x:c r="M50" s="2"/>
      <x:c r="N50" s="2"/>
    </x:row>
    <x:row r="51" ht="22" customHeight="1">
      <x:c r="A51" s="2"/>
      <x:c r="B51" s="2"/>
      <x:c r="C51" s="5" t="n">
        <x:f>'Assumptions'!K84+'Assumptions'!$D$9</x:f>
        <x:v>2033</x:v>
      </x:c>
      <x:c r="D51" s="58" t="n">
        <x:f>'Operations'!K49</x:f>
        <x:v>28963343.119866922</x:v>
      </x:c>
      <x:c r="E51" s="58" t="n">
        <x:f>'Operations'!K52</x:f>
        <x:v>19799913.119866922</x:v>
      </x:c>
      <x:c r="F51" s="58" t="n">
        <x:f>'Debt'!K20</x:f>
        <x:v>14238243.635383897</x:v>
      </x:c>
      <x:c r="G51" s="58" t="n">
        <x:f>'Debt'!K19</x:f>
        <x:v>11971913.142857144</x:v>
      </x:c>
      <x:c r="H51" s="58" t="n">
        <x:f>'Debt'!K18</x:f>
        <x:v>28059171.428571433</x:v>
      </x:c>
      <x:c r="I51" s="58" t="n">
        <x:f>'Returns'!K20</x:f>
        <x:v>2266330.492526753</x:v>
      </x:c>
      <x:c r="J51" s="23" t="n">
        <x:f>'Debt'!K21</x:f>
        <x:v>1.1893039538028158</x:v>
      </x:c>
      <x:c r="K51" s="2"/>
      <x:c r="L51" s="2"/>
      <x:c r="M51" s="2"/>
      <x:c r="N51" s="2"/>
    </x:row>
    <x:row r="52" ht="22" customHeight="1">
      <x:c r="A52" s="2"/>
      <x:c r="B52" s="2"/>
      <x:c r="C52" s="5" t="n">
        <x:f>'Assumptions'!L84+'Assumptions'!$D$9</x:f>
        <x:v>2034</x:v>
      </x:c>
      <x:c r="D52" s="58" t="n">
        <x:f>'Operations'!L49</x:f>
        <x:v>30489789.581589643</x:v>
      </x:c>
      <x:c r="E52" s="58" t="n">
        <x:f>'Operations'!L52</x:f>
        <x:v>21148969.581589643</x:v>
      </x:c>
      <x:c r="F52" s="58" t="n">
        <x:f>'Debt'!L20</x:f>
        <x:v>15285404.863106098</x:v>
      </x:c>
      <x:c r="G52" s="58" t="n">
        <x:f>'Debt'!L19</x:f>
        <x:v>11317199.142857144</x:v>
      </x:c>
      <x:c r="H52" s="58" t="n">
        <x:f>'Debt'!L18</x:f>
        <x:v>18706114.28571429</x:v>
      </x:c>
      <x:c r="I52" s="58" t="n">
        <x:f>'Returns'!L20</x:f>
        <x:v>3968205.7202489544</x:v>
      </x:c>
      <x:c r="J52" s="23" t="n">
        <x:f>'Debt'!L21</x:f>
        <x:v>1.3506349645489353</x:v>
      </x:c>
      <x:c r="K52" s="2"/>
      <x:c r="L52" s="2"/>
      <x:c r="M52" s="2"/>
      <x:c r="N52" s="2"/>
    </x:row>
    <x:row r="53" ht="22" customHeight="1">
      <x:c r="A53" s="2"/>
      <x:c r="B53" s="2"/>
      <x:c r="C53" s="5" t="n">
        <x:f>'Assumptions'!M84+'Assumptions'!$D$9</x:f>
        <x:v>2035</x:v>
      </x:c>
      <x:c r="D53" s="58" t="n">
        <x:f>'Operations'!M49</x:f>
        <x:v>31252034.321129378</x:v>
      </x:c>
      <x:c r="E53" s="58" t="n">
        <x:f>'Operations'!M52</x:f>
        <x:v>21911214.321129378</x:v>
      </x:c>
      <x:c r="F53" s="58" t="n">
        <x:f>'Debt'!M20</x:f>
        <x:v>15895298.503870046</x:v>
      </x:c>
      <x:c r="G53" s="58" t="n">
        <x:f>'Debt'!M19</x:f>
        <x:v>10662485.142857144</x:v>
      </x:c>
      <x:c r="H53" s="58" t="n">
        <x:f>'Debt'!M18</x:f>
        <x:v>9353057.142857147</x:v>
      </x:c>
      <x:c r="I53" s="58" t="n">
        <x:f>'Returns'!M20</x:f>
        <x:v>5232813.361012902</x:v>
      </x:c>
      <x:c r="J53" s="23" t="n">
        <x:f>'Debt'!M21</x:f>
        <x:v>1.4907686426666107</x:v>
      </x:c>
      <x:c r="K53" s="2"/>
      <x:c r="L53" s="2"/>
      <x:c r="M53" s="2"/>
      <x:c r="N53" s="2"/>
    </x:row>
    <x:row r="54" ht="22" customHeight="1">
      <x:c r="A54" s="2"/>
      <x:c r="B54" s="2"/>
      <x:c r="C54" s="5" t="n">
        <x:f>'Assumptions'!N84+'Assumptions'!$D$9</x:f>
        <x:v>2036</x:v>
      </x:c>
      <x:c r="D54" s="58" t="n">
        <x:f>'Operations'!N49</x:f>
        <x:v>32033335.179157615</x:v>
      </x:c>
      <x:c r="E54" s="58" t="n">
        <x:f>'Operations'!N52</x:f>
        <x:v>22692515.179157615</x:v>
      </x:c>
      <x:c r="F54" s="58" t="n">
        <x:f>'Debt'!N20</x:f>
        <x:v>16480321.3414668</x:v>
      </x:c>
      <x:c r="G54" s="58" t="n">
        <x:f>'Debt'!N19</x:f>
        <x:v>10007771.142857147</x:v>
      </x:c>
      <x:c r="H54" s="58" t="n">
        <x:f>'Debt'!N18</x:f>
        <x:v>0</x:v>
      </x:c>
      <x:c r="I54" s="58" t="n">
        <x:f>'Returns'!N20</x:f>
        <x:v>319415525.21560997</x:v>
      </x:c>
      <x:c r="J54" s="23" t="n">
        <x:f>'Debt'!N21</x:f>
        <x:v>1.6467524193165937</x:v>
      </x:c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pageMargins left="0.7" right="0.7" top="0.75" bottom="0.75" header="0.3" footer="0.3"/>
  <x:drawing xmlns:r="http://schemas.openxmlformats.org/officeDocument/2006/relationships" r:id="R4a3834f89f4c4baa"/>
</x:worksheet>
</file>

<file path=xl/worksheets/sheet2.xml><?xml version="1.0" encoding="utf-8"?>
<x:worksheet xmlns:x="http://schemas.openxmlformats.org/spreadsheetml/2006/main">
  <x:sheetPr>
    <x:tabColor rgb="FFB29A6C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 t="str">
        <x:v>Case selector: 1 Base, 2 Upside, 3 Downside</x:v>
      </x:c>
      <x:c r="D5" s="12" t="n">
        <x:v>1</x:v>
      </x:c>
      <x:c r="E5" s="13" t="str">
        <x:f>CHOOSE(D5,"Base","Upside","Downside")</x:f>
        <x:v>Base</x:v>
      </x:c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2" customHeight="1">
      <x:c r="A7" s="2"/>
      <x:c r="B7" s="2"/>
      <x:c r="C7" s="2" t="str">
        <x:v>Required input validation</x:v>
      </x:c>
      <x:c r="D7" s="4" t="str">
        <x:f>IF(IFERROR(AND(COUNT(Site!D8:D17)=10,MIN(Site!D8:D17)&gt;=0,Site!D8&gt;0,Site!D15&gt;0,Site!D9&gt;0,Site!D16&gt;0,Site!D16&lt;=1,COUNT(D9:D29)=21,COUNT(D64:D68)=5,COUNT(D73:D81)=9,COUNT(D85:N90)=66,COUNT(D93:D107)=15,ABS(SUM(D85:N85)-1)&lt;0.00000001,ABS(SUM(D88:N88)-1)&lt;0.00000001,ABS(SUM(D93:D107)-1)&lt;0.00000001,D10&gt;=MAX(D13:D14),OR(D23=0,D25&gt;=MAX(D13:D14)),D5&gt;=1,D5&lt;=3,MOD(D5,1)=0,AND(D9&gt;=1900,D9&lt;=2200,MOD(D9,1)=0),AND(D10&gt;=4,D10&lt;=10,MOD(D10,1)=0),AND(D11&gt;=0.1,D11&lt;=1000),AND(D12&gt;=0.1,D12&lt;=1000),AND(D13&gt;=1,D13&lt;=10,MOD(D13,1)=0),AND(D14&gt;=1,D14&lt;=10,MOD(D14,1)=0),AND(D15&gt;=-0.5,D15&lt;=1),AND(D16&gt;=1,D16&lt;=3),AND(D17&gt;=0,D17&lt;=1),AND(D18&gt;=0,D18&lt;=1),AND(D19&gt;=0,D19&lt;=1000000000),AND(D20&gt;=0,D20&lt;=1),AND(D21&gt;=0,D21&lt;=1),AND(D22&gt;=0,D22&lt;=1),AND(D23&gt;=0,D23&lt;=0.9),AND(D24&gt;=0,D24&lt;=0.1),AND(D25&gt;=1,D25&lt;=10,MOD(D25,1)=0),AND(D26&gt;=1,D26&lt;=30,MOD(D26,1)=0),AND(D27&gt;=1,D27&lt;=2,MOD(D27,1)=0),AND(D28&gt;=1,D28&lt;=3),AND(D29&gt;=0,D29&lt;=1000000000),MIN(D73:D81)&gt;=0,MIN(D85:N90)&gt;=0,MAX(D85:N90)&lt;=1,MIN(D93:D107)&gt;=0,MAX(D93:D107)&lt;=1,AND(ISNUMBER(D33),D33&gt;=0,D33&lt;=1000000),AND(ISNUMBER(D38),D38&gt;=1,D38&lt;=1000000000),AND(ISNUMBER(D43),D43&gt;=0,D43&lt;=100),AND(ISNUMBER(D48),D48&gt;=0,D48&lt;=0.3),AND(ISNUMBER(D53),D53&gt;=0,D53&lt;=100),AND(ISNUMBER(D58),D58&gt;=0,D58&lt;=10),SUMIFS(D85:N85,D84:N84,"&gt;="&amp;D13)=0,SUMIFS(D88:N88,D84:N84,"&gt;="&amp;D14)=0,SUMIFS(D86:N86,D84:N84,"&lt;"&amp;D13)=0,SUMIFS(D89:N89,D84:N84,"&lt;"&amp;D14)=0),FALSE),"Valid","INPUT ERROR")</x:f>
        <x:v>Valid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2" customHeight="1">
      <x:c r="A9" s="2"/>
      <x:c r="B9" s="2"/>
      <x:c r="C9" s="2" t="str">
        <x:v>Start year</x:v>
      </x:c>
      <x:c r="D9" s="12" t="n">
        <x:v>2026</x:v>
      </x:c>
      <x:c r="E9" s="2"/>
      <x:c r="F9" s="2" t="str">
        <x:v>Source: analyst assumptions cross-checked against the Benchmarks register.</x:v>
      </x:c>
      <x:c r="G9" s="2"/>
      <x:c r="H9" s="2"/>
      <x:c r="I9" s="2"/>
      <x:c r="J9" s="2"/>
      <x:c r="K9" s="2"/>
      <x:c r="L9" s="2"/>
      <x:c r="M9" s="2"/>
      <x:c r="N9" s="2"/>
    </x:row>
    <x:row r="10" ht="22" customHeight="1">
      <x:c r="A10" s="2"/>
      <x:c r="B10" s="2"/>
      <x:c r="C10" s="2" t="str">
        <x:v>Exit year</x:v>
      </x:c>
      <x:c r="D10" s="12" t="n">
        <x:v>10</x:v>
      </x:c>
      <x:c r="E10" s="2"/>
      <x:c r="F10" s="2" t="str">
        <x:v>No validated Midlothian site, utility tariff, lease comparables or lender terms.</x:v>
      </x:c>
      <x:c r="G10" s="2"/>
      <x:c r="H10" s="2"/>
      <x:c r="I10" s="2"/>
      <x:c r="J10" s="2"/>
      <x:c r="K10" s="2"/>
      <x:c r="L10" s="2"/>
      <x:c r="M10" s="2"/>
      <x:c r="N10" s="2"/>
    </x:row>
    <x:row r="11" ht="22" customHeight="1">
      <x:c r="A11" s="2"/>
      <x:c r="B11" s="2"/>
      <x:c r="C11" s="2" t="str">
        <x:v>Phase 1 capacity (MW)</x:v>
      </x:c>
      <x:c r="D11" s="16" t="n">
        <x:v>5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2" customHeight="1">
      <x:c r="A12" s="2"/>
      <x:c r="B12" s="2"/>
      <x:c r="C12" s="2" t="str">
        <x:v>Phase 2 capacity (MW)</x:v>
      </x:c>
      <x:c r="D12" s="16" t="n">
        <x:v>5</x:v>
      </x:c>
      <x:c r="E12" s="2"/>
      <x:c r="F12" s="2" t="str">
        <x:v>Blue text / amber fill = editable. Black = formula. Green = cross-sheet link.</x:v>
      </x:c>
      <x:c r="G12" s="2"/>
      <x:c r="H12" s="2"/>
      <x:c r="I12" s="2"/>
      <x:c r="J12" s="2"/>
      <x:c r="K12" s="2"/>
      <x:c r="L12" s="2"/>
      <x:c r="M12" s="2"/>
      <x:c r="N12" s="2"/>
    </x:row>
    <x:row r="13" ht="22" customHeight="1">
      <x:c r="A13" s="2"/>
      <x:c r="B13" s="2"/>
      <x:c r="C13" s="2" t="str">
        <x:v>Phase 1 opening year</x:v>
      </x:c>
      <x:c r="D13" s="12" t="n">
        <x:v>2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2" customHeight="1">
      <x:c r="A14" s="2"/>
      <x:c r="B14" s="2"/>
      <x:c r="C14" s="2" t="str">
        <x:v>Phase 2 opening year</x:v>
      </x:c>
      <x:c r="D14" s="12" t="n">
        <x:v>4</x:v>
      </x:c>
      <x:c r="E14" s="2"/>
      <x:c r="F14" s="2" t="str">
        <x:v>Missing selected inputs or invalid schedules withhold outputs.</x:v>
      </x:c>
      <x:c r="G14" s="2"/>
      <x:c r="H14" s="2"/>
      <x:c r="I14" s="2"/>
      <x:c r="J14" s="2"/>
      <x:c r="K14" s="2"/>
      <x:c r="L14" s="2"/>
      <x:c r="M14" s="2"/>
      <x:c r="N14" s="2"/>
    </x:row>
    <x:row r="15" ht="22" customHeight="1">
      <x:c r="A15" s="2"/>
      <x:c r="B15" s="2"/>
      <x:c r="C15" s="2" t="str">
        <x:v>Annual rent escalation</x:v>
      </x:c>
      <x:c r="D15" s="19" t="n">
        <x:v>0.025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2" customHeight="1">
      <x:c r="A16" s="2"/>
      <x:c r="B16" s="2"/>
      <x:c r="C16" s="2" t="str">
        <x:v>PUE</x:v>
      </x:c>
      <x:c r="D16" s="16" t="n">
        <x:v>1.35</x:v>
      </x:c>
      <x:c r="E16" s="2"/>
      <x:c r="F16" s="2" t="str">
        <x:v>Rent is modeled as an all-in receipt with no separate power recovery.</x:v>
      </x:c>
      <x:c r="G16" s="2"/>
      <x:c r="H16" s="2"/>
      <x:c r="I16" s="2"/>
      <x:c r="J16" s="2"/>
      <x:c r="K16" s="2"/>
      <x:c r="L16" s="2"/>
      <x:c r="M16" s="2"/>
      <x:c r="N16" s="2"/>
    </x:row>
    <x:row r="17" ht="22" customHeight="1">
      <x:c r="A17" s="2"/>
      <x:c r="B17" s="2"/>
      <x:c r="C17" s="2" t="str">
        <x:v>Cash tax / positive phase EBITDA</x:v>
      </x:c>
      <x:c r="D17" s="19" t="n">
        <x:v>0.25</x:v>
      </x:c>
      <x:c r="E17" s="2"/>
      <x:c r="F17" s="2" t="str">
        <x:v>Public rental benchmarks differ in scope and are not contracted Midlothian rents.</x:v>
      </x:c>
      <x:c r="G17" s="2"/>
      <x:c r="H17" s="2"/>
      <x:c r="I17" s="2"/>
      <x:c r="J17" s="2"/>
      <x:c r="K17" s="2"/>
      <x:c r="L17" s="2"/>
      <x:c r="M17" s="2"/>
      <x:c r="N17" s="2"/>
    </x:row>
    <x:row r="18" ht="22" customHeight="1">
      <x:c r="A18" s="2"/>
      <x:c r="B18" s="2"/>
      <x:c r="C18" s="2" t="str">
        <x:v>Working capital / revenue</x:v>
      </x:c>
      <x:c r="D18" s="19" t="n">
        <x:v>0.05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2" customHeight="1">
      <x:c r="A19" s="2"/>
      <x:c r="B19" s="2"/>
      <x:c r="C19" s="2" t="str">
        <x:v>Maintenance CapEx / available MW</x:v>
      </x:c>
      <x:c r="D19" s="22" t="n">
        <x:v>50000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2" customHeight="1">
      <x:c r="A20" s="2"/>
      <x:c r="B20" s="2"/>
      <x:c r="C20" s="2" t="str">
        <x:v>Selling costs / exit value</x:v>
      </x:c>
      <x:c r="D20" s="19" t="n">
        <x:v>0.02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2" customHeight="1">
      <x:c r="A21" s="2"/>
      <x:c r="B21" s="2"/>
      <x:c r="C21" s="2" t="str">
        <x:v>Project discount rate</x:v>
      </x:c>
      <x:c r="D21" s="19" t="n">
        <x:v>0.1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2" customHeight="1">
      <x:c r="A22" s="2"/>
      <x:c r="B22" s="2"/>
      <x:c r="C22" s="2" t="str">
        <x:v>Equity discount rate</x:v>
      </x:c>
      <x:c r="D22" s="19" t="n">
        <x:v>0.15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2" t="str">
        <x:v>Construction debt / CapEx</x:v>
      </x:c>
      <x:c r="D23" s="19" t="n">
        <x:v>0.45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/>
      <x:c r="B24" s="2"/>
      <x:c r="C24" s="2" t="str">
        <x:v>Financing fee / commitment</x:v>
      </x:c>
      <x:c r="D24" s="19" t="n">
        <x:v>0.015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2" customHeight="1">
      <x:c r="A25" s="2"/>
      <x:c r="B25" s="2"/>
      <x:c r="C25" s="2" t="str">
        <x:v>First amortization year</x:v>
      </x:c>
      <x:c r="D25" s="12" t="n">
        <x:v>4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2" customHeight="1">
      <x:c r="A26" s="2"/>
      <x:c r="B26" s="2"/>
      <x:c r="C26" s="2" t="str">
        <x:v>Amortization term (years)</x:v>
      </x:c>
      <x:c r="D26" s="12" t="n">
        <x:v>7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2" customHeight="1">
      <x:c r="A27" s="2"/>
      <x:c r="B27" s="2"/>
      <x:c r="C27" s="2" t="str">
        <x:v>Repayment: 1 Principal, 2 Annuity</x:v>
      </x:c>
      <x:c r="D27" s="12" t="n">
        <x:v>1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2" customHeight="1">
      <x:c r="A28" s="2"/>
      <x:c r="B28" s="2"/>
      <x:c r="C28" s="2" t="str">
        <x:v>DSCR covenant</x:v>
      </x:c>
      <x:c r="D28" s="25" t="n">
        <x:v>1.3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 t="str">
        <x:v>Other revenue / leased MW / year</x:v>
      </x:c>
      <x:c r="D29" s="22" t="n">
        <x:v>0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6" t="str">
        <x:v>Rent ($/kW/month) — active</x:v>
      </x:c>
      <x:c r="D33" s="28" t="n">
        <x:f>IF(ISNUMBER(INDEX(D34:D36,$D$5)),CHOOSE($D$5,D34,D35,D36),NA())</x:f>
        <x:v>225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 t="str">
        <x:v>Base</x:v>
      </x:c>
      <x:c r="D34" s="22" t="n">
        <x:v>225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 t="str">
        <x:v>Upside</x:v>
      </x:c>
      <x:c r="D35" s="22" t="n">
        <x:v>247.5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 t="str">
        <x:v>Downside</x:v>
      </x:c>
      <x:c r="D36" s="22" t="n">
        <x:v>202.5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6" t="str">
        <x:v>Non-land development cost / MW — active</x:v>
      </x:c>
      <x:c r="D38" s="28" t="n">
        <x:f>IF(ISNUMBER(INDEX(D39:D41,$D$5)),CHOOSE($D$5,D39,D40,D41)*$D$64,NA())</x:f>
        <x:v>13440000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 t="str">
        <x:v>Base</x:v>
      </x:c>
      <x:c r="D39" s="22" t="n">
        <x:v>13440000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 t="str">
        <x:v>Upside</x:v>
      </x:c>
      <x:c r="D40" s="22" t="n">
        <x:v>12768000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 t="str">
        <x:v>Downside</x:v>
      </x:c>
      <x:c r="D41" s="22" t="n">
        <x:v>14784000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6" t="str">
        <x:v>Power price ($/kWh) — active</x:v>
      </x:c>
      <x:c r="D43" s="29" t="n">
        <x:f>IF(ISNUMBER(INDEX(D44:D46,$D$5)),CHOOSE($D$5,D44,D45,D46)*$D$66,NA())</x:f>
        <x:v>0.075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 t="str">
        <x:v>Base</x:v>
      </x:c>
      <x:c r="D44" s="32" t="n">
        <x:v>0.075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 t="str">
        <x:v>Upside</x:v>
      </x:c>
      <x:c r="D45" s="32" t="n">
        <x:v>0.0675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 t="str">
        <x:v>Downside</x:v>
      </x:c>
      <x:c r="D46" s="32" t="n">
        <x:v>0.09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6" t="str">
        <x:v>Debt interest rate — active</x:v>
      </x:c>
      <x:c r="D48" s="33" t="n">
        <x:f>IF(ISNUMBER(INDEX(D49:D51,$D$5)),MAX(0,CHOOSE($D$5,D49,D50,D51)+$D$67),NA())</x:f>
        <x:v>0.07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 t="str">
        <x:v>Base</x:v>
      </x:c>
      <x:c r="D49" s="19" t="n">
        <x:v>0.07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 t="str">
        <x:v>Upside</x:v>
      </x:c>
      <x:c r="D50" s="19" t="n">
        <x:v>0.06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 t="str">
        <x:v>Downside</x:v>
      </x:c>
      <x:c r="D51" s="19" t="n">
        <x:v>0.09</x:v>
      </x:c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6" t="str">
        <x:v>Exit EBITDA multiple — active</x:v>
      </x:c>
      <x:c r="D53" s="34" t="n">
        <x:f>IF(ISNUMBER(INDEX(D54:D56,$D$5)),CHOOSE($D$5,D54,D55,D56)*$D$68,NA())</x:f>
        <x:v>14</x:v>
      </x:c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 t="str">
        <x:v>Base</x:v>
      </x:c>
      <x:c r="D54" s="25" t="n">
        <x:v>14</x:v>
      </x:c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 t="str">
        <x:v>Upside</x:v>
      </x:c>
      <x:c r="D55" s="25" t="n">
        <x:v>16</x:v>
      </x:c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 t="str">
        <x:v>Downside</x:v>
      </x:c>
      <x:c r="D56" s="25" t="n">
        <x:v>12</x:v>
      </x:c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6" t="str">
        <x:v>Lease ramp multiplier — active</x:v>
      </x:c>
      <x:c r="D58" s="34" t="n">
        <x:f>IF(ISNUMBER(INDEX(D59:D61,$D$5)),CHOOSE($D$5,D59,D60,D61)*$D$65,NA())</x:f>
        <x:v>1</x:v>
      </x:c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 t="str">
        <x:v>Base</x:v>
      </x:c>
      <x:c r="D59" s="25" t="n">
        <x:v>1</x:v>
      </x:c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 t="str">
        <x:v>Upside</x:v>
      </x:c>
      <x:c r="D60" s="25" t="n">
        <x:v>1.1</x:v>
      </x:c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 t="str">
        <x:v>Downside</x:v>
      </x:c>
      <x:c r="D61" s="25" t="n">
        <x:v>0.8</x:v>
      </x:c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 t="str">
        <x:v>CapEx multiplier</x:v>
      </x:c>
      <x:c r="D64" s="25" t="n">
        <x:v>1</x:v>
      </x:c>
      <x:c r="E64" s="2"/>
      <x:c r="F64" s="2" t="str">
        <x:v>Sensitivity controls drive the active case.</x:v>
      </x:c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 t="str">
        <x:v>Lease multiplier</x:v>
      </x:c>
      <x:c r="D65" s="25" t="n">
        <x:v>1</x:v>
      </x:c>
      <x:c r="E65" s="2"/>
      <x:c r="F65" s="2" t="str">
        <x:v>Reset multipliers to 1 and rate shift to 0 for the selected case.</x:v>
      </x:c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 t="str">
        <x:v>Power multiplier</x:v>
      </x:c>
      <x:c r="D66" s="25" t="n">
        <x:v>1</x:v>
      </x:c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 t="str">
        <x:v>Interest rate shift</x:v>
      </x:c>
      <x:c r="D67" s="19" t="n">
        <x:v>0</x:v>
      </x:c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 t="str">
        <x:v>Exit multiple multiplier</x:v>
      </x:c>
      <x:c r="D68" s="25" t="n">
        <x:v>1</x:v>
      </x:c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4" customHeight="1">
      <x:c r="A71" s="2"/>
      <x:c r="B71" s="2"/>
      <x:c r="C71" s="9" t="str">
        <x:v>Annual full-project operating costs</x:v>
      </x:c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9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 t="str">
        <x:v>Cooling service (excludes electricity)</x:v>
      </x:c>
      <x:c r="D73" s="22" t="n">
        <x:v>125000</x:v>
      </x:c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 t="str">
        <x:v>Facility operations</x:v>
      </x:c>
      <x:c r="D74" s="22" t="n">
        <x:v>450000</x:v>
      </x:c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 t="str">
        <x:v>Maintenance service</x:v>
      </x:c>
      <x:c r="D75" s="22" t="n">
        <x:v>175000</x:v>
      </x:c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 t="str">
        <x:v>Staffing</x:v>
      </x:c>
      <x:c r="D76" s="22" t="n">
        <x:v>550000</x:v>
      </x:c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 t="str">
        <x:v>Network / Connectivity</x:v>
      </x:c>
      <x:c r="D77" s="22" t="n">
        <x:v>200000</x:v>
      </x:c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 t="str">
        <x:v>Insurance</x:v>
      </x:c>
      <x:c r="D78" s="22" t="n">
        <x:v>175000</x:v>
      </x:c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 t="str">
        <x:v>Property / Facility costs</x:v>
      </x:c>
      <x:c r="D79" s="22" t="n">
        <x:v>700000</x:v>
      </x:c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 t="str">
        <x:v>Security</x:v>
      </x:c>
      <x:c r="D80" s="22" t="n">
        <x:v>125000</x:v>
      </x:c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 t="str">
        <x:v>Other operating costs</x:v>
      </x:c>
      <x:c r="D81" s="22" t="n">
        <x:v>100000</x:v>
      </x:c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9" t="str">
        <x:v>Model year</x:v>
      </x:c>
      <x:c r="D84" s="9" t="n">
        <x:v>0</x:v>
      </x:c>
      <x:c r="E84" s="9" t="n">
        <x:v>1</x:v>
      </x:c>
      <x:c r="F84" s="9" t="n">
        <x:v>2</x:v>
      </x:c>
      <x:c r="G84" s="9" t="n">
        <x:v>3</x:v>
      </x:c>
      <x:c r="H84" s="9" t="n">
        <x:v>4</x:v>
      </x:c>
      <x:c r="I84" s="9" t="n">
        <x:v>5</x:v>
      </x:c>
      <x:c r="J84" s="9" t="n">
        <x:v>6</x:v>
      </x:c>
      <x:c r="K84" s="9" t="n">
        <x:v>7</x:v>
      </x:c>
      <x:c r="L84" s="9" t="n">
        <x:v>8</x:v>
      </x:c>
      <x:c r="M84" s="9" t="n">
        <x:v>9</x:v>
      </x:c>
      <x:c r="N84" s="9" t="n">
        <x:v>10</x:v>
      </x:c>
    </x:row>
    <x:row r="85" ht="22" customHeight="1">
      <x:c r="A85" s="2"/>
      <x:c r="B85" s="2"/>
      <x:c r="C85" s="2" t="str">
        <x:v>Phase 1 CapEx allocation</x:v>
      </x:c>
      <x:c r="D85" s="19" t="n">
        <x:v>0.45</x:v>
      </x:c>
      <x:c r="E85" s="19" t="n">
        <x:v>0.55</x:v>
      </x:c>
      <x:c r="F85" s="19" t="n">
        <x:v>0</x:v>
      </x:c>
      <x:c r="G85" s="19" t="n">
        <x:v>0</x:v>
      </x:c>
      <x:c r="H85" s="19" t="n">
        <x:v>0</x:v>
      </x:c>
      <x:c r="I85" s="19" t="n">
        <x:v>0</x:v>
      </x:c>
      <x:c r="J85" s="19" t="n">
        <x:v>0</x:v>
      </x:c>
      <x:c r="K85" s="19" t="n">
        <x:v>0</x:v>
      </x:c>
      <x:c r="L85" s="19" t="n">
        <x:v>0</x:v>
      </x:c>
      <x:c r="M85" s="19" t="n">
        <x:v>0</x:v>
      </x:c>
      <x:c r="N85" s="19" t="n">
        <x:v>0</x:v>
      </x:c>
    </x:row>
    <x:row r="86" ht="22" customHeight="1">
      <x:c r="A86" s="2"/>
      <x:c r="B86" s="2"/>
      <x:c r="C86" s="2" t="str">
        <x:v>Phase 1 lease rate</x:v>
      </x:c>
      <x:c r="D86" s="19" t="n">
        <x:v>0</x:v>
      </x:c>
      <x:c r="E86" s="19" t="n">
        <x:v>0</x:v>
      </x:c>
      <x:c r="F86" s="19" t="n">
        <x:v>0.4</x:v>
      </x:c>
      <x:c r="G86" s="19" t="n">
        <x:v>0.65</x:v>
      </x:c>
      <x:c r="H86" s="19" t="n">
        <x:v>0.8</x:v>
      </x:c>
      <x:c r="I86" s="19" t="n">
        <x:v>0.9</x:v>
      </x:c>
      <x:c r="J86" s="19" t="n">
        <x:v>0.95</x:v>
      </x:c>
      <x:c r="K86" s="19" t="n">
        <x:v>0.95</x:v>
      </x:c>
      <x:c r="L86" s="19" t="n">
        <x:v>0.95</x:v>
      </x:c>
      <x:c r="M86" s="19" t="n">
        <x:v>0.95</x:v>
      </x:c>
      <x:c r="N86" s="19" t="n">
        <x:v>0.95</x:v>
      </x:c>
    </x:row>
    <x:row r="87" ht="22" customHeight="1">
      <x:c r="A87" s="2"/>
      <x:c r="B87" s="2"/>
      <x:c r="C87" s="2" t="str">
        <x:v>Phase 1 utilization of leased MW</x:v>
      </x:c>
      <x:c r="D87" s="19" t="n">
        <x:v>0.8</x:v>
      </x:c>
      <x:c r="E87" s="19" t="n">
        <x:v>0.8</x:v>
      </x:c>
      <x:c r="F87" s="19" t="n">
        <x:v>0.8</x:v>
      </x:c>
      <x:c r="G87" s="19" t="n">
        <x:v>0.8</x:v>
      </x:c>
      <x:c r="H87" s="19" t="n">
        <x:v>0.8</x:v>
      </x:c>
      <x:c r="I87" s="19" t="n">
        <x:v>0.8</x:v>
      </x:c>
      <x:c r="J87" s="19" t="n">
        <x:v>0.8</x:v>
      </x:c>
      <x:c r="K87" s="19" t="n">
        <x:v>0.8</x:v>
      </x:c>
      <x:c r="L87" s="19" t="n">
        <x:v>0.8</x:v>
      </x:c>
      <x:c r="M87" s="19" t="n">
        <x:v>0.8</x:v>
      </x:c>
      <x:c r="N87" s="19" t="n">
        <x:v>0.8</x:v>
      </x:c>
    </x:row>
    <x:row r="88" ht="22" customHeight="1">
      <x:c r="A88" s="2"/>
      <x:c r="B88" s="2"/>
      <x:c r="C88" s="2" t="str">
        <x:v>Phase 2 CapEx allocation</x:v>
      </x:c>
      <x:c r="D88" s="19" t="n">
        <x:v>0</x:v>
      </x:c>
      <x:c r="E88" s="19" t="n">
        <x:v>0</x:v>
      </x:c>
      <x:c r="F88" s="19" t="n">
        <x:v>0.4</x:v>
      </x:c>
      <x:c r="G88" s="19" t="n">
        <x:v>0.6</x:v>
      </x:c>
      <x:c r="H88" s="19" t="n">
        <x:v>0</x:v>
      </x:c>
      <x:c r="I88" s="19" t="n">
        <x:v>0</x:v>
      </x:c>
      <x:c r="J88" s="19" t="n">
        <x:v>0</x:v>
      </x:c>
      <x:c r="K88" s="19" t="n">
        <x:v>0</x:v>
      </x:c>
      <x:c r="L88" s="19" t="n">
        <x:v>0</x:v>
      </x:c>
      <x:c r="M88" s="19" t="n">
        <x:v>0</x:v>
      </x:c>
      <x:c r="N88" s="19" t="n">
        <x:v>0</x:v>
      </x:c>
    </x:row>
    <x:row r="89" ht="22" customHeight="1">
      <x:c r="A89" s="2"/>
      <x:c r="B89" s="2"/>
      <x:c r="C89" s="2" t="str">
        <x:v>Phase 2 lease rate</x:v>
      </x:c>
      <x:c r="D89" s="19" t="n">
        <x:v>0</x:v>
      </x:c>
      <x:c r="E89" s="19" t="n">
        <x:v>0</x:v>
      </x:c>
      <x:c r="F89" s="19" t="n">
        <x:v>0</x:v>
      </x:c>
      <x:c r="G89" s="19" t="n">
        <x:v>0</x:v>
      </x:c>
      <x:c r="H89" s="19" t="n">
        <x:v>0.4</x:v>
      </x:c>
      <x:c r="I89" s="19" t="n">
        <x:v>0.65</x:v>
      </x:c>
      <x:c r="J89" s="19" t="n">
        <x:v>0.8</x:v>
      </x:c>
      <x:c r="K89" s="19" t="n">
        <x:v>0.9</x:v>
      </x:c>
      <x:c r="L89" s="19" t="n">
        <x:v>0.95</x:v>
      </x:c>
      <x:c r="M89" s="19" t="n">
        <x:v>0.95</x:v>
      </x:c>
      <x:c r="N89" s="19" t="n">
        <x:v>0.95</x:v>
      </x:c>
    </x:row>
    <x:row r="90" ht="22" customHeight="1">
      <x:c r="A90" s="2"/>
      <x:c r="B90" s="2"/>
      <x:c r="C90" s="2" t="str">
        <x:v>Phase 2 utilization of leased MW</x:v>
      </x:c>
      <x:c r="D90" s="19" t="n">
        <x:v>0.8</x:v>
      </x:c>
      <x:c r="E90" s="19" t="n">
        <x:v>0.8</x:v>
      </x:c>
      <x:c r="F90" s="19" t="n">
        <x:v>0.8</x:v>
      </x:c>
      <x:c r="G90" s="19" t="n">
        <x:v>0.8</x:v>
      </x:c>
      <x:c r="H90" s="19" t="n">
        <x:v>0.8</x:v>
      </x:c>
      <x:c r="I90" s="19" t="n">
        <x:v>0.8</x:v>
      </x:c>
      <x:c r="J90" s="19" t="n">
        <x:v>0.8</x:v>
      </x:c>
      <x:c r="K90" s="19" t="n">
        <x:v>0.8</x:v>
      </x:c>
      <x:c r="L90" s="19" t="n">
        <x:v>0.8</x:v>
      </x:c>
      <x:c r="M90" s="19" t="n">
        <x:v>0.8</x:v>
      </x:c>
      <x:c r="N90" s="19" t="n">
        <x:v>0.8</x:v>
      </x:c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4" customHeight="1">
      <x:c r="A92" s="2"/>
      <x:c r="B92" s="2"/>
      <x:c r="C92" s="9" t="str">
        <x:v>Non-land cost allocation (site basis is separate)</x:v>
      </x:c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9"/>
    </x:row>
    <x:row r="93" ht="22" customHeight="1">
      <x:c r="A93" s="2"/>
      <x:c r="B93" s="2"/>
      <x:c r="C93" s="2" t="str">
        <x:v>Land / Site</x:v>
      </x:c>
      <x:c r="D93" s="19" t="n">
        <x:v>0</x:v>
      </x:c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 t="str">
        <x:v>Building / Shell</x:v>
      </x:c>
      <x:c r="D94" s="19" t="n">
        <x:v>0.16666666666666669</x:v>
      </x:c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 t="str">
        <x:v>Electrical Infrastructure</x:v>
      </x:c>
      <x:c r="D95" s="19" t="n">
        <x:v>0.20833333333333334</x:v>
      </x:c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 t="str">
        <x:v>Utility Interconnection</x:v>
      </x:c>
      <x:c r="D96" s="19" t="n">
        <x:v>0.04166666666666667</x:v>
      </x:c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 t="str">
        <x:v>UPS</x:v>
      </x:c>
      <x:c r="D97" s="19" t="n">
        <x:v>0.07291666666666667</x:v>
      </x:c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 t="str">
        <x:v>Generators</x:v>
      </x:c>
      <x:c r="D98" s="19" t="n">
        <x:v>0.08333333333333334</x:v>
      </x:c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 t="str">
        <x:v>Cooling Infrastructure</x:v>
      </x:c>
      <x:c r="D99" s="19" t="n">
        <x:v>0.125</x:v>
      </x:c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 t="str">
        <x:v>Networking</x:v>
      </x:c>
      <x:c r="D100" s="19" t="n">
        <x:v>0.03125</x:v>
      </x:c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 t="str">
        <x:v>Racks / White Space</x:v>
      </x:c>
      <x:c r="D101" s="19" t="n">
        <x:v>0.03125</x:v>
      </x:c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 t="str">
        <x:v>Security</x:v>
      </x:c>
      <x:c r="D102" s="19" t="n">
        <x:v>0.010416666666666668</x:v>
      </x:c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 t="str">
        <x:v>Engineering</x:v>
      </x:c>
      <x:c r="D103" s="19" t="n">
        <x:v>0.04166666666666667</x:v>
      </x:c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 t="str">
        <x:v>Construction</x:v>
      </x:c>
      <x:c r="D104" s="19" t="n">
        <x:v>0.08333333333333334</x:v>
      </x:c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 t="str">
        <x:v>Development Costs</x:v>
      </x:c>
      <x:c r="D105" s="19" t="n">
        <x:v>0.03125</x:v>
      </x:c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 t="str">
        <x:v>Contingency</x:v>
      </x:c>
      <x:c r="D106" s="19" t="n">
        <x:v>0.07291666666666667</x:v>
      </x:c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 t="str">
        <x:v>Other / Unallocated</x:v>
      </x:c>
      <x:c r="D107" s="19" t="n">
        <x:v>0</x:v>
      </x:c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4" customHeight="1">
      <x:c r="A111" s="2"/>
      <x:c r="B111" s="2"/>
      <x:c r="C111" s="9" t="str">
        <x:v>Equity IRR: CapEx / lease multipliers</x:v>
      </x:c>
      <x:c r="D111" s="9"/>
      <x:c r="E111" s="9"/>
      <x:c r="F111" s="9"/>
      <x:c r="G111" s="9"/>
      <x:c r="H111" s="9"/>
      <x:c r="I111" s="9"/>
      <x:c r="J111" s="9"/>
      <x:c r="K111" s="9"/>
      <x:c r="L111" s="9"/>
      <x:c r="M111" s="9"/>
      <x:c r="N111" s="9"/>
    </x:row>
    <x:row r="112" ht="22" customHeight="1">
      <x:c r="A112" s="2"/>
      <x:c r="B112" s="2"/>
      <x:c r="C112" s="2" t="str">
        <x:v>Rows: CapEx multiplier. Columns: lease multiplier.</x:v>
      </x:c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67" t="n">
        <x:f>'Returns'!D34</x:f>
        <x:v>0.1618111819228646</x:v>
      </x:c>
      <x:c r="E113" s="23" t="n">
        <x:v>0.9</x:v>
      </x:c>
      <x:c r="F113" s="23" t="n">
        <x:v>1</x:v>
      </x:c>
      <x:c r="G113" s="23" t="n">
        <x:v>1.1</x:v>
      </x:c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3" t="n">
        <x:v>0.9</x:v>
      </x:c>
      <x:c r="E114" s="17" t="n">
        <x:f t="dataTable" ref="E114:G116" dt2D="1" r1="D65" r2="D64"/>
        <x:v>0.1566435322621</x:v>
      </x:c>
      <x:c r="F114" s="17" t="n">
        <x:v>0.1802247749172</x:v>
      </x:c>
      <x:c r="G114" s="17" t="n">
        <x:v>0.1938278573935</x:v>
      </x:c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3" t="n">
        <x:v>1</x:v>
      </x:c>
      <x:c r="E115" s="17" t="n">
        <x:v>0.1384440062403</x:v>
      </x:c>
      <x:c r="F115" s="17" t="n">
        <x:v>0.1618111819229</x:v>
      </x:c>
      <x:c r="G115" s="17" t="n">
        <x:v>0.1751451855672</x:v>
      </x:c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3" t="n">
        <x:v>1.1</x:v>
      </x:c>
      <x:c r="E116" s="17" t="n">
        <x:v>0.1218938625469</x:v>
      </x:c>
      <x:c r="F116" s="17" t="n">
        <x:v>0.145092857072</x:v>
      </x:c>
      <x:c r="G116" s="17" t="n">
        <x:v>0.1582035706831</x:v>
      </x:c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4" customHeight="1">
      <x:c r="A119" s="2"/>
      <x:c r="B119" s="2"/>
      <x:c r="C119" s="9" t="str">
        <x:v>Minimum DSCR: rate shift / power multiplier</x:v>
      </x:c>
      <x:c r="D119" s="9"/>
      <x:c r="E119" s="9"/>
      <x:c r="F119" s="9"/>
      <x:c r="G119" s="9"/>
      <x:c r="H119" s="9"/>
      <x:c r="I119" s="9"/>
      <x:c r="J119" s="9"/>
      <x:c r="K119" s="9"/>
      <x:c r="L119" s="9"/>
      <x:c r="M119" s="9"/>
      <x:c r="N119" s="9"/>
    </x:row>
    <x:row r="120" ht="22" customHeight="1">
      <x:c r="A120" s="2"/>
      <x:c r="B120" s="2"/>
      <x:c r="C120" s="2" t="str">
        <x:v>Rows: rate shift in percentage points. Columns: power multiplier.</x:v>
      </x:c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44" t="n">
        <x:f>'Returns'!D39</x:f>
        <x:v>0.5044384034210088</x:v>
      </x:c>
      <x:c r="E121" s="23" t="n">
        <x:v>0.9</x:v>
      </x:c>
      <x:c r="F121" s="23" t="n">
        <x:v>1</x:v>
      </x:c>
      <x:c r="G121" s="23" t="n">
        <x:v>1.1</x:v>
      </x:c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17" t="n">
        <x:v>-0.02</x:v>
      </x:c>
      <x:c r="E122" s="23" t="n">
        <x:f t="dataTable" ref="E122:G124" dt2D="1" r1="D66" r2="D67"/>
        <x:v>0.5820385224892</x:v>
      </x:c>
      <x:c r="F122" s="23" t="n">
        <x:v>0.5567505341462</x:v>
      </x:c>
      <x:c r="G122" s="23" t="n">
        <x:v>0.5314625458031</x:v>
      </x:c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17" t="n">
        <x:v>0</x:v>
      </x:c>
      <x:c r="E123" s="23" t="n">
        <x:v>0.527350339168</x:v>
      </x:c>
      <x:c r="F123" s="23" t="n">
        <x:v>0.504438403421</x:v>
      </x:c>
      <x:c r="G123" s="23" t="n">
        <x:v>0.481526467674</x:v>
      </x:c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17" t="n">
        <x:v>0.02</x:v>
      </x:c>
      <x:c r="E124" s="23" t="n">
        <x:v>0.4553236938737</x:v>
      </x:c>
      <x:c r="F124" s="23" t="n">
        <x:v>0.4266750216546</x:v>
      </x:c>
      <x:c r="G124" s="23" t="n">
        <x:v>0.3980263494355</x:v>
      </x:c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4" customHeight="1">
      <x:c r="A127" s="2"/>
      <x:c r="B127" s="2"/>
      <x:c r="C127" s="9" t="str">
        <x:v>Equity MOIC: exit / lease multipliers</x:v>
      </x:c>
      <x:c r="D127" s="9"/>
      <x:c r="E127" s="9"/>
      <x:c r="F127" s="9"/>
      <x:c r="G127" s="9"/>
      <x:c r="H127" s="9"/>
      <x:c r="I127" s="9"/>
      <x:c r="J127" s="9"/>
      <x:c r="K127" s="9"/>
      <x:c r="L127" s="9"/>
      <x:c r="M127" s="9"/>
      <x:c r="N127" s="9"/>
    </x:row>
    <x:row r="128" ht="22" customHeight="1">
      <x:c r="A128" s="2"/>
      <x:c r="B128" s="2"/>
      <x:c r="C128" s="2" t="str">
        <x:v>Rows: exit multiple multiplier. Columns: lease multiplier.</x:v>
      </x:c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44" t="n">
        <x:f>'Returns'!D35</x:f>
        <x:v>3.4950714416732986</x:v>
      </x:c>
      <x:c r="E129" s="23" t="n">
        <x:v>0.9</x:v>
      </x:c>
      <x:c r="F129" s="23" t="n">
        <x:v>1</x:v>
      </x:c>
      <x:c r="G129" s="23" t="n">
        <x:v>1.1</x:v>
      </x:c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3" t="n">
        <x:v>0.9</x:v>
      </x:c>
      <x:c r="E130" s="23" t="n">
        <x:f t="dataTable" ref="E130:G132" dt2D="1" r1="D65" r2="D68"/>
        <x:v>2.6351074843854</x:v>
      </x:c>
      <x:c r="F130" s="23" t="n">
        <x:v>3.1663373452352</x:v>
      </x:c>
      <x:c r="G130" s="23" t="n">
        <x:v>3.5091883361804</x:v>
      </x:c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3" t="n">
        <x:v>1</x:v>
      </x:c>
      <x:c r="E131" s="23" t="n">
        <x:v>2.9142082097258</x:v>
      </x:c>
      <x:c r="F131" s="23" t="n">
        <x:v>3.4950714416733</x:v>
      </x:c>
      <x:c r="G131" s="23" t="n">
        <x:v>3.8686720432952</x:v>
      </x:c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3" t="n">
        <x:v>1.1</x:v>
      </x:c>
      <x:c r="E132" s="23" t="n">
        <x:v>3.1933089350661</x:v>
      </x:c>
      <x:c r="F132" s="23" t="n">
        <x:v>3.8238055381114</x:v>
      </x:c>
      <x:c r="G132" s="23" t="n">
        <x:v>4.22815575041</x:v>
      </x:c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 t="str">
        <x:v>Sensitivity grids recalculate the same model. Center equals selected case with neutral controls.</x:v>
      </x:c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 t="str">
        <x:v>Set Excel Calculation Options to Automatic, including data tables.</x:v>
      </x:c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conditionalFormatting sqref="D7:D7">
    <x:cfRule type="containsText" dxfId="0" priority="1" operator="containsText" text="ERROR"/>
  </x:conditionalFormatting>
  <x:conditionalFormatting sqref="E114:G116">
    <x:cfRule type="colorScale" priority="2">
      <x:colorScale>
        <x:cfvo type="min"/>
        <x:cfvo type="percentile" val="50"/>
        <x:cfvo type="max"/>
        <x:color rgb="FFF4D9CD"/>
        <x:color rgb="FFF8F6EF"/>
        <x:color rgb="FFC5D8D0"/>
      </x:colorScale>
    </x:cfRule>
  </x:conditionalFormatting>
  <x:conditionalFormatting sqref="E130:G132">
    <x:cfRule type="colorScale" priority="4">
      <x:colorScale>
        <x:cfvo type="min"/>
        <x:cfvo type="percentile" val="50"/>
        <x:cfvo type="max"/>
        <x:color rgb="FFF4D9CD"/>
        <x:color rgb="FFF8F6EF"/>
        <x:color rgb="FFC5D8D0"/>
      </x:colorScale>
    </x:cfRule>
  </x:conditionalFormatting>
  <x:conditionalFormatting sqref="E122:G124">
    <x:cfRule type="cellIs" dxfId="5" priority="5" operator="lessThan">
      <x:formula>$D$28</x:formula>
    </x:cfRule>
  </x:conditionalFormatting>
  <x:dataValidations count="135">
    <x:dataValidation type="whole" operator="between" sqref="D5">
      <x:formula1>1</x:formula1>
      <x:formula2>3</x:formula2>
    </x:dataValidation>
    <x:dataValidation type="whole" operator="between" sqref="D9">
      <x:formula1>1900</x:formula1>
      <x:formula2>2200</x:formula2>
    </x:dataValidation>
    <x:dataValidation type="whole" operator="between" sqref="D10">
      <x:formula1>4</x:formula1>
      <x:formula2>10</x:formula2>
    </x:dataValidation>
    <x:dataValidation type="decimal" operator="between" sqref="D11">
      <x:formula1>0.1</x:formula1>
      <x:formula2>1000</x:formula2>
    </x:dataValidation>
    <x:dataValidation type="decimal" operator="between" sqref="D12">
      <x:formula1>0.1</x:formula1>
      <x:formula2>1000</x:formula2>
    </x:dataValidation>
    <x:dataValidation type="whole" operator="between" sqref="D13">
      <x:formula1>1</x:formula1>
      <x:formula2>10</x:formula2>
    </x:dataValidation>
    <x:dataValidation type="whole" operator="between" sqref="D14">
      <x:formula1>1</x:formula1>
      <x:formula2>10</x:formula2>
    </x:dataValidation>
    <x:dataValidation type="decimal" operator="between" sqref="D15">
      <x:formula1>-0.5</x:formula1>
      <x:formula2>1</x:formula2>
    </x:dataValidation>
    <x:dataValidation type="decimal" operator="between" sqref="D16">
      <x:formula1>1</x:formula1>
      <x:formula2>3</x:formula2>
    </x:dataValidation>
    <x:dataValidation type="decimal" operator="between" sqref="D17">
      <x:formula1>0</x:formula1>
      <x:formula2>1</x:formula2>
    </x:dataValidation>
    <x:dataValidation type="decimal" operator="between" sqref="D18">
      <x:formula1>0</x:formula1>
      <x:formula2>1</x:formula2>
    </x:dataValidation>
    <x:dataValidation type="decimal" operator="between" sqref="D19">
      <x:formula1>0</x:formula1>
      <x:formula2>1000000000</x:formula2>
    </x:dataValidation>
    <x:dataValidation type="decimal" operator="between" sqref="D20">
      <x:formula1>0</x:formula1>
      <x:formula2>1</x:formula2>
    </x:dataValidation>
    <x:dataValidation type="decimal" operator="between" sqref="D21">
      <x:formula1>0</x:formula1>
      <x:formula2>1</x:formula2>
    </x:dataValidation>
    <x:dataValidation type="decimal" operator="between" sqref="D22">
      <x:formula1>0</x:formula1>
      <x:formula2>1</x:formula2>
    </x:dataValidation>
    <x:dataValidation type="decimal" operator="between" sqref="D23">
      <x:formula1>0</x:formula1>
      <x:formula2>0.9</x:formula2>
    </x:dataValidation>
    <x:dataValidation type="decimal" operator="between" sqref="D24">
      <x:formula1>0</x:formula1>
      <x:formula2>0.1</x:formula2>
    </x:dataValidation>
    <x:dataValidation type="whole" operator="between" sqref="D25">
      <x:formula1>1</x:formula1>
      <x:formula2>10</x:formula2>
    </x:dataValidation>
    <x:dataValidation type="whole" operator="between" sqref="D26">
      <x:formula1>1</x:formula1>
      <x:formula2>30</x:formula2>
    </x:dataValidation>
    <x:dataValidation type="whole" operator="between" sqref="D27">
      <x:formula1>1</x:formula1>
      <x:formula2>2</x:formula2>
    </x:dataValidation>
    <x:dataValidation type="decimal" operator="between" sqref="D28">
      <x:formula1>1</x:formula1>
      <x:formula2>3</x:formula2>
    </x:dataValidation>
    <x:dataValidation type="decimal" operator="between" sqref="D29">
      <x:formula1>0</x:formula1>
      <x:formula2>1000000000</x:formula2>
    </x:dataValidation>
    <x:dataValidation type="decimal" operator="between" sqref="D34">
      <x:formula1>0</x:formula1>
      <x:formula2>1000000</x:formula2>
    </x:dataValidation>
    <x:dataValidation type="decimal" operator="between" sqref="D35">
      <x:formula1>0</x:formula1>
      <x:formula2>1000000</x:formula2>
    </x:dataValidation>
    <x:dataValidation type="decimal" operator="between" sqref="D36">
      <x:formula1>0</x:formula1>
      <x:formula2>1000000</x:formula2>
    </x:dataValidation>
    <x:dataValidation type="decimal" operator="between" sqref="D39">
      <x:formula1>1</x:formula1>
      <x:formula2>1000000000</x:formula2>
    </x:dataValidation>
    <x:dataValidation type="decimal" operator="between" sqref="D40">
      <x:formula1>1</x:formula1>
      <x:formula2>1000000000</x:formula2>
    </x:dataValidation>
    <x:dataValidation type="decimal" operator="between" sqref="D41">
      <x:formula1>1</x:formula1>
      <x:formula2>1000000000</x:formula2>
    </x:dataValidation>
    <x:dataValidation type="decimal" operator="between" sqref="D44">
      <x:formula1>0</x:formula1>
      <x:formula2>100</x:formula2>
    </x:dataValidation>
    <x:dataValidation type="decimal" operator="between" sqref="D45">
      <x:formula1>0</x:formula1>
      <x:formula2>100</x:formula2>
    </x:dataValidation>
    <x:dataValidation type="decimal" operator="between" sqref="D46">
      <x:formula1>0</x:formula1>
      <x:formula2>100</x:formula2>
    </x:dataValidation>
    <x:dataValidation type="decimal" operator="between" sqref="D49">
      <x:formula1>0</x:formula1>
      <x:formula2>0.3</x:formula2>
    </x:dataValidation>
    <x:dataValidation type="decimal" operator="between" sqref="D50">
      <x:formula1>0</x:formula1>
      <x:formula2>0.3</x:formula2>
    </x:dataValidation>
    <x:dataValidation type="decimal" operator="between" sqref="D51">
      <x:formula1>0</x:formula1>
      <x:formula2>0.3</x:formula2>
    </x:dataValidation>
    <x:dataValidation type="decimal" operator="between" sqref="D54">
      <x:formula1>0</x:formula1>
      <x:formula2>100</x:formula2>
    </x:dataValidation>
    <x:dataValidation type="decimal" operator="between" sqref="D55">
      <x:formula1>0</x:formula1>
      <x:formula2>100</x:formula2>
    </x:dataValidation>
    <x:dataValidation type="decimal" operator="between" sqref="D56">
      <x:formula1>0</x:formula1>
      <x:formula2>100</x:formula2>
    </x:dataValidation>
    <x:dataValidation type="decimal" operator="between" sqref="D59">
      <x:formula1>0</x:formula1>
      <x:formula2>10</x:formula2>
    </x:dataValidation>
    <x:dataValidation type="decimal" operator="between" sqref="D60">
      <x:formula1>0</x:formula1>
      <x:formula2>10</x:formula2>
    </x:dataValidation>
    <x:dataValidation type="decimal" operator="between" sqref="D61">
      <x:formula1>0</x:formula1>
      <x:formula2>10</x:formula2>
    </x:dataValidation>
    <x:dataValidation type="decimal" operator="between" sqref="D64">
      <x:formula1>0.1</x:formula1>
      <x:formula2>3</x:formula2>
    </x:dataValidation>
    <x:dataValidation type="decimal" operator="between" sqref="D65">
      <x:formula1>0</x:formula1>
      <x:formula2>3</x:formula2>
    </x:dataValidation>
    <x:dataValidation type="decimal" operator="between" sqref="D66">
      <x:formula1>0</x:formula1>
      <x:formula2>3</x:formula2>
    </x:dataValidation>
    <x:dataValidation type="decimal" operator="between" sqref="D67">
      <x:formula1>-0.3</x:formula1>
      <x:formula2>0.3</x:formula2>
    </x:dataValidation>
    <x:dataValidation type="decimal" operator="between" sqref="D68">
      <x:formula1>0</x:formula1>
      <x:formula2>3</x:formula2>
    </x:dataValidation>
    <x:dataValidation type="decimal" operator="between" sqref="D73">
      <x:formula1>0</x:formula1>
      <x:formula2>1000000000</x:formula2>
    </x:dataValidation>
    <x:dataValidation type="decimal" operator="between" sqref="D74">
      <x:formula1>0</x:formula1>
      <x:formula2>1000000000</x:formula2>
    </x:dataValidation>
    <x:dataValidation type="decimal" operator="between" sqref="D75">
      <x:formula1>0</x:formula1>
      <x:formula2>1000000000</x:formula2>
    </x:dataValidation>
    <x:dataValidation type="decimal" operator="between" sqref="D76">
      <x:formula1>0</x:formula1>
      <x:formula2>1000000000</x:formula2>
    </x:dataValidation>
    <x:dataValidation type="decimal" operator="between" sqref="D77">
      <x:formula1>0</x:formula1>
      <x:formula2>1000000000</x:formula2>
    </x:dataValidation>
    <x:dataValidation type="decimal" operator="between" sqref="D78">
      <x:formula1>0</x:formula1>
      <x:formula2>1000000000</x:formula2>
    </x:dataValidation>
    <x:dataValidation type="decimal" operator="between" sqref="D79">
      <x:formula1>0</x:formula1>
      <x:formula2>1000000000</x:formula2>
    </x:dataValidation>
    <x:dataValidation type="decimal" operator="between" sqref="D80">
      <x:formula1>0</x:formula1>
      <x:formula2>1000000000</x:formula2>
    </x:dataValidation>
    <x:dataValidation type="decimal" operator="between" sqref="D81">
      <x:formula1>0</x:formula1>
      <x:formula2>1000000000</x:formula2>
    </x:dataValidation>
    <x:dataValidation type="decimal" operator="between" sqref="D85">
      <x:formula1>0</x:formula1>
      <x:formula2>1</x:formula2>
    </x:dataValidation>
    <x:dataValidation type="decimal" operator="between" sqref="E85">
      <x:formula1>0</x:formula1>
      <x:formula2>1</x:formula2>
    </x:dataValidation>
    <x:dataValidation type="decimal" operator="between" sqref="F85">
      <x:formula1>0</x:formula1>
      <x:formula2>1</x:formula2>
    </x:dataValidation>
    <x:dataValidation type="decimal" operator="between" sqref="G85">
      <x:formula1>0</x:formula1>
      <x:formula2>1</x:formula2>
    </x:dataValidation>
    <x:dataValidation type="decimal" operator="between" sqref="H85">
      <x:formula1>0</x:formula1>
      <x:formula2>1</x:formula2>
    </x:dataValidation>
    <x:dataValidation type="decimal" operator="between" sqref="I85">
      <x:formula1>0</x:formula1>
      <x:formula2>1</x:formula2>
    </x:dataValidation>
    <x:dataValidation type="decimal" operator="between" sqref="J85">
      <x:formula1>0</x:formula1>
      <x:formula2>1</x:formula2>
    </x:dataValidation>
    <x:dataValidation type="decimal" operator="between" sqref="K85">
      <x:formula1>0</x:formula1>
      <x:formula2>1</x:formula2>
    </x:dataValidation>
    <x:dataValidation type="decimal" operator="between" sqref="L85">
      <x:formula1>0</x:formula1>
      <x:formula2>1</x:formula2>
    </x:dataValidation>
    <x:dataValidation type="decimal" operator="between" sqref="M85">
      <x:formula1>0</x:formula1>
      <x:formula2>1</x:formula2>
    </x:dataValidation>
    <x:dataValidation type="decimal" operator="between" sqref="N85">
      <x:formula1>0</x:formula1>
      <x:formula2>1</x:formula2>
    </x:dataValidation>
    <x:dataValidation type="decimal" operator="between" sqref="D86">
      <x:formula1>0</x:formula1>
      <x:formula2>1</x:formula2>
    </x:dataValidation>
    <x:dataValidation type="decimal" operator="between" sqref="E86">
      <x:formula1>0</x:formula1>
      <x:formula2>1</x:formula2>
    </x:dataValidation>
    <x:dataValidation type="decimal" operator="between" sqref="F86">
      <x:formula1>0</x:formula1>
      <x:formula2>1</x:formula2>
    </x:dataValidation>
    <x:dataValidation type="decimal" operator="between" sqref="G86">
      <x:formula1>0</x:formula1>
      <x:formula2>1</x:formula2>
    </x:dataValidation>
    <x:dataValidation type="decimal" operator="between" sqref="H86">
      <x:formula1>0</x:formula1>
      <x:formula2>1</x:formula2>
    </x:dataValidation>
    <x:dataValidation type="decimal" operator="between" sqref="I86">
      <x:formula1>0</x:formula1>
      <x:formula2>1</x:formula2>
    </x:dataValidation>
    <x:dataValidation type="decimal" operator="between" sqref="J86">
      <x:formula1>0</x:formula1>
      <x:formula2>1</x:formula2>
    </x:dataValidation>
    <x:dataValidation type="decimal" operator="between" sqref="K86">
      <x:formula1>0</x:formula1>
      <x:formula2>1</x:formula2>
    </x:dataValidation>
    <x:dataValidation type="decimal" operator="between" sqref="L86">
      <x:formula1>0</x:formula1>
      <x:formula2>1</x:formula2>
    </x:dataValidation>
    <x:dataValidation type="decimal" operator="between" sqref="M86">
      <x:formula1>0</x:formula1>
      <x:formula2>1</x:formula2>
    </x:dataValidation>
    <x:dataValidation type="decimal" operator="between" sqref="N86">
      <x:formula1>0</x:formula1>
      <x:formula2>1</x:formula2>
    </x:dataValidation>
    <x:dataValidation type="decimal" operator="between" sqref="D87">
      <x:formula1>0</x:formula1>
      <x:formula2>1</x:formula2>
    </x:dataValidation>
    <x:dataValidation type="decimal" operator="between" sqref="E87">
      <x:formula1>0</x:formula1>
      <x:formula2>1</x:formula2>
    </x:dataValidation>
    <x:dataValidation type="decimal" operator="between" sqref="F87">
      <x:formula1>0</x:formula1>
      <x:formula2>1</x:formula2>
    </x:dataValidation>
    <x:dataValidation type="decimal" operator="between" sqref="G87">
      <x:formula1>0</x:formula1>
      <x:formula2>1</x:formula2>
    </x:dataValidation>
    <x:dataValidation type="decimal" operator="between" sqref="H87">
      <x:formula1>0</x:formula1>
      <x:formula2>1</x:formula2>
    </x:dataValidation>
    <x:dataValidation type="decimal" operator="between" sqref="I87">
      <x:formula1>0</x:formula1>
      <x:formula2>1</x:formula2>
    </x:dataValidation>
    <x:dataValidation type="decimal" operator="between" sqref="J87">
      <x:formula1>0</x:formula1>
      <x:formula2>1</x:formula2>
    </x:dataValidation>
    <x:dataValidation type="decimal" operator="between" sqref="K87">
      <x:formula1>0</x:formula1>
      <x:formula2>1</x:formula2>
    </x:dataValidation>
    <x:dataValidation type="decimal" operator="between" sqref="L87">
      <x:formula1>0</x:formula1>
      <x:formula2>1</x:formula2>
    </x:dataValidation>
    <x:dataValidation type="decimal" operator="between" sqref="M87">
      <x:formula1>0</x:formula1>
      <x:formula2>1</x:formula2>
    </x:dataValidation>
    <x:dataValidation type="decimal" operator="between" sqref="N87">
      <x:formula1>0</x:formula1>
      <x:formula2>1</x:formula2>
    </x:dataValidation>
    <x:dataValidation type="decimal" operator="between" sqref="D88">
      <x:formula1>0</x:formula1>
      <x:formula2>1</x:formula2>
    </x:dataValidation>
    <x:dataValidation type="decimal" operator="between" sqref="E88">
      <x:formula1>0</x:formula1>
      <x:formula2>1</x:formula2>
    </x:dataValidation>
    <x:dataValidation type="decimal" operator="between" sqref="F88">
      <x:formula1>0</x:formula1>
      <x:formula2>1</x:formula2>
    </x:dataValidation>
    <x:dataValidation type="decimal" operator="between" sqref="G88">
      <x:formula1>0</x:formula1>
      <x:formula2>1</x:formula2>
    </x:dataValidation>
    <x:dataValidation type="decimal" operator="between" sqref="H88">
      <x:formula1>0</x:formula1>
      <x:formula2>1</x:formula2>
    </x:dataValidation>
    <x:dataValidation type="decimal" operator="between" sqref="I88">
      <x:formula1>0</x:formula1>
      <x:formula2>1</x:formula2>
    </x:dataValidation>
    <x:dataValidation type="decimal" operator="between" sqref="J88">
      <x:formula1>0</x:formula1>
      <x:formula2>1</x:formula2>
    </x:dataValidation>
    <x:dataValidation type="decimal" operator="between" sqref="K88">
      <x:formula1>0</x:formula1>
      <x:formula2>1</x:formula2>
    </x:dataValidation>
    <x:dataValidation type="decimal" operator="between" sqref="L88">
      <x:formula1>0</x:formula1>
      <x:formula2>1</x:formula2>
    </x:dataValidation>
    <x:dataValidation type="decimal" operator="between" sqref="M88">
      <x:formula1>0</x:formula1>
      <x:formula2>1</x:formula2>
    </x:dataValidation>
    <x:dataValidation type="decimal" operator="between" sqref="N88">
      <x:formula1>0</x:formula1>
      <x:formula2>1</x:formula2>
    </x:dataValidation>
    <x:dataValidation type="decimal" operator="between" sqref="D89">
      <x:formula1>0</x:formula1>
      <x:formula2>1</x:formula2>
    </x:dataValidation>
    <x:dataValidation type="decimal" operator="between" sqref="E89">
      <x:formula1>0</x:formula1>
      <x:formula2>1</x:formula2>
    </x:dataValidation>
    <x:dataValidation type="decimal" operator="between" sqref="F89">
      <x:formula1>0</x:formula1>
      <x:formula2>1</x:formula2>
    </x:dataValidation>
    <x:dataValidation type="decimal" operator="between" sqref="G89">
      <x:formula1>0</x:formula1>
      <x:formula2>1</x:formula2>
    </x:dataValidation>
    <x:dataValidation type="decimal" operator="between" sqref="H89">
      <x:formula1>0</x:formula1>
      <x:formula2>1</x:formula2>
    </x:dataValidation>
    <x:dataValidation type="decimal" operator="between" sqref="I89">
      <x:formula1>0</x:formula1>
      <x:formula2>1</x:formula2>
    </x:dataValidation>
    <x:dataValidation type="decimal" operator="between" sqref="J89">
      <x:formula1>0</x:formula1>
      <x:formula2>1</x:formula2>
    </x:dataValidation>
    <x:dataValidation type="decimal" operator="between" sqref="K89">
      <x:formula1>0</x:formula1>
      <x:formula2>1</x:formula2>
    </x:dataValidation>
    <x:dataValidation type="decimal" operator="between" sqref="L89">
      <x:formula1>0</x:formula1>
      <x:formula2>1</x:formula2>
    </x:dataValidation>
    <x:dataValidation type="decimal" operator="between" sqref="M89">
      <x:formula1>0</x:formula1>
      <x:formula2>1</x:formula2>
    </x:dataValidation>
    <x:dataValidation type="decimal" operator="between" sqref="N89">
      <x:formula1>0</x:formula1>
      <x:formula2>1</x:formula2>
    </x:dataValidation>
    <x:dataValidation type="decimal" operator="between" sqref="D90">
      <x:formula1>0</x:formula1>
      <x:formula2>1</x:formula2>
    </x:dataValidation>
    <x:dataValidation type="decimal" operator="between" sqref="E90">
      <x:formula1>0</x:formula1>
      <x:formula2>1</x:formula2>
    </x:dataValidation>
    <x:dataValidation type="decimal" operator="between" sqref="F90">
      <x:formula1>0</x:formula1>
      <x:formula2>1</x:formula2>
    </x:dataValidation>
    <x:dataValidation type="decimal" operator="between" sqref="G90">
      <x:formula1>0</x:formula1>
      <x:formula2>1</x:formula2>
    </x:dataValidation>
    <x:dataValidation type="decimal" operator="between" sqref="H90">
      <x:formula1>0</x:formula1>
      <x:formula2>1</x:formula2>
    </x:dataValidation>
    <x:dataValidation type="decimal" operator="between" sqref="I90">
      <x:formula1>0</x:formula1>
      <x:formula2>1</x:formula2>
    </x:dataValidation>
    <x:dataValidation type="decimal" operator="between" sqref="J90">
      <x:formula1>0</x:formula1>
      <x:formula2>1</x:formula2>
    </x:dataValidation>
    <x:dataValidation type="decimal" operator="between" sqref="K90">
      <x:formula1>0</x:formula1>
      <x:formula2>1</x:formula2>
    </x:dataValidation>
    <x:dataValidation type="decimal" operator="between" sqref="L90">
      <x:formula1>0</x:formula1>
      <x:formula2>1</x:formula2>
    </x:dataValidation>
    <x:dataValidation type="decimal" operator="between" sqref="M90">
      <x:formula1>0</x:formula1>
      <x:formula2>1</x:formula2>
    </x:dataValidation>
    <x:dataValidation type="decimal" operator="between" sqref="N90">
      <x:formula1>0</x:formula1>
      <x:formula2>1</x:formula2>
    </x:dataValidation>
    <x:dataValidation type="decimal" operator="between" sqref="D93">
      <x:formula1>0</x:formula1>
      <x:formula2>1</x:formula2>
    </x:dataValidation>
    <x:dataValidation type="decimal" operator="between" sqref="D94">
      <x:formula1>0</x:formula1>
      <x:formula2>1</x:formula2>
    </x:dataValidation>
    <x:dataValidation type="decimal" operator="between" sqref="D95">
      <x:formula1>0</x:formula1>
      <x:formula2>1</x:formula2>
    </x:dataValidation>
    <x:dataValidation type="decimal" operator="between" sqref="D96">
      <x:formula1>0</x:formula1>
      <x:formula2>1</x:formula2>
    </x:dataValidation>
    <x:dataValidation type="decimal" operator="between" sqref="D97">
      <x:formula1>0</x:formula1>
      <x:formula2>1</x:formula2>
    </x:dataValidation>
    <x:dataValidation type="decimal" operator="between" sqref="D98">
      <x:formula1>0</x:formula1>
      <x:formula2>1</x:formula2>
    </x:dataValidation>
    <x:dataValidation type="decimal" operator="between" sqref="D99">
      <x:formula1>0</x:formula1>
      <x:formula2>1</x:formula2>
    </x:dataValidation>
    <x:dataValidation type="decimal" operator="between" sqref="D100">
      <x:formula1>0</x:formula1>
      <x:formula2>1</x:formula2>
    </x:dataValidation>
    <x:dataValidation type="decimal" operator="between" sqref="D101">
      <x:formula1>0</x:formula1>
      <x:formula2>1</x:formula2>
    </x:dataValidation>
    <x:dataValidation type="decimal" operator="between" sqref="D102">
      <x:formula1>0</x:formula1>
      <x:formula2>1</x:formula2>
    </x:dataValidation>
    <x:dataValidation type="decimal" operator="between" sqref="D103">
      <x:formula1>0</x:formula1>
      <x:formula2>1</x:formula2>
    </x:dataValidation>
    <x:dataValidation type="decimal" operator="between" sqref="D104">
      <x:formula1>0</x:formula1>
      <x:formula2>1</x:formula2>
    </x:dataValidation>
    <x:dataValidation type="decimal" operator="between" sqref="D105">
      <x:formula1>0</x:formula1>
      <x:formula2>1</x:formula2>
    </x:dataValidation>
    <x:dataValidation type="decimal" operator="between" sqref="D106">
      <x:formula1>0</x:formula1>
      <x:formula2>1</x:formula2>
    </x:dataValidation>
    <x:dataValidation type="decimal" operator="between" sqref="D107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Construction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9" t="str">
        <x:v>Calendar year</x:v>
      </x:c>
      <x:c r="D5" s="10" t="n">
        <x:f>'Assumptions'!$D$9+D6</x:f>
        <x:v>2026</x:v>
      </x:c>
      <x:c r="E5" s="10" t="n">
        <x:f>'Assumptions'!$D$9+E6</x:f>
        <x:v>2027</x:v>
      </x:c>
      <x:c r="F5" s="10" t="n">
        <x:f>'Assumptions'!$D$9+F6</x:f>
        <x:v>2028</x:v>
      </x:c>
      <x:c r="G5" s="10" t="n">
        <x:f>'Assumptions'!$D$9+G6</x:f>
        <x:v>2029</x:v>
      </x:c>
      <x:c r="H5" s="10" t="n">
        <x:f>'Assumptions'!$D$9+H6</x:f>
        <x:v>2030</x:v>
      </x:c>
      <x:c r="I5" s="10" t="n">
        <x:f>'Assumptions'!$D$9+I6</x:f>
        <x:v>2031</x:v>
      </x:c>
      <x:c r="J5" s="10" t="n">
        <x:f>'Assumptions'!$D$9+J6</x:f>
        <x:v>2032</x:v>
      </x:c>
      <x:c r="K5" s="10" t="n">
        <x:f>'Assumptions'!$D$9+K6</x:f>
        <x:v>2033</x:v>
      </x:c>
      <x:c r="L5" s="10" t="n">
        <x:f>'Assumptions'!$D$9+L6</x:f>
        <x:v>2034</x:v>
      </x:c>
      <x:c r="M5" s="10" t="n">
        <x:f>'Assumptions'!$D$9+M6</x:f>
        <x:v>2035</x:v>
      </x:c>
      <x:c r="N5" s="10" t="n">
        <x:f>'Assumptions'!$D$9+N6</x:f>
        <x:v>2036</x:v>
      </x:c>
    </x:row>
    <x:row r="6" ht="22" customHeight="1">
      <x:c r="A6" s="2"/>
      <x:c r="B6" s="2"/>
      <x:c r="C6" s="9" t="str">
        <x:v>Model year</x:v>
      </x:c>
      <x:c r="D6" s="10" t="n">
        <x:f>'Assumptions'!D84</x:f>
        <x:v>0</x:v>
      </x:c>
      <x:c r="E6" s="10" t="n">
        <x:f>'Assumptions'!E84</x:f>
        <x:v>1</x:v>
      </x:c>
      <x:c r="F6" s="10" t="n">
        <x:f>'Assumptions'!F84</x:f>
        <x:v>2</x:v>
      </x:c>
      <x:c r="G6" s="10" t="n">
        <x:f>'Assumptions'!G84</x:f>
        <x:v>3</x:v>
      </x:c>
      <x:c r="H6" s="10" t="n">
        <x:f>'Assumptions'!H84</x:f>
        <x:v>4</x:v>
      </x:c>
      <x:c r="I6" s="10" t="n">
        <x:f>'Assumptions'!I84</x:f>
        <x:v>5</x:v>
      </x:c>
      <x:c r="J6" s="10" t="n">
        <x:f>'Assumptions'!J84</x:f>
        <x:v>6</x:v>
      </x:c>
      <x:c r="K6" s="10" t="n">
        <x:f>'Assumptions'!K84</x:f>
        <x:v>7</x:v>
      </x:c>
      <x:c r="L6" s="10" t="n">
        <x:f>'Assumptions'!L84</x:f>
        <x:v>8</x:v>
      </x:c>
      <x:c r="M6" s="10" t="n">
        <x:f>'Assumptions'!M84</x:f>
        <x:v>9</x:v>
      </x:c>
      <x:c r="N6" s="10" t="n">
        <x:f>'Assumptions'!N84</x:f>
        <x:v>10</x:v>
      </x:c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/>
      <x:c r="B8" s="2"/>
      <x:c r="C8" s="2" t="str">
        <x:v>Phase 1 development</x:v>
      </x:c>
      <x:c r="D8" s="46" t="n">
        <x:f>IF('Assumptions'!$D$7&lt;&gt;"Valid",NA(),IF(D$6&lt;='Assumptions'!$D$10,'Assumptions'!$D$11*'Assumptions'!$D$38*'Assumptions'!D85,0))</x:f>
        <x:v>30240000</x:v>
      </x:c>
      <x:c r="E8" s="46" t="n">
        <x:f>IF('Assumptions'!$D$7&lt;&gt;"Valid",NA(),IF(E$6&lt;='Assumptions'!$D$10,'Assumptions'!$D$11*'Assumptions'!$D$38*'Assumptions'!E85,0))</x:f>
        <x:v>36960000</x:v>
      </x:c>
      <x:c r="F8" s="46" t="n">
        <x:f>IF('Assumptions'!$D$7&lt;&gt;"Valid",NA(),IF(F$6&lt;='Assumptions'!$D$10,'Assumptions'!$D$11*'Assumptions'!$D$38*'Assumptions'!F85,0))</x:f>
        <x:v>0</x:v>
      </x:c>
      <x:c r="G8" s="46" t="n">
        <x:f>IF('Assumptions'!$D$7&lt;&gt;"Valid",NA(),IF(G$6&lt;='Assumptions'!$D$10,'Assumptions'!$D$11*'Assumptions'!$D$38*'Assumptions'!G85,0))</x:f>
        <x:v>0</x:v>
      </x:c>
      <x:c r="H8" s="46" t="n">
        <x:f>IF('Assumptions'!$D$7&lt;&gt;"Valid",NA(),IF(H$6&lt;='Assumptions'!$D$10,'Assumptions'!$D$11*'Assumptions'!$D$38*'Assumptions'!H85,0))</x:f>
        <x:v>0</x:v>
      </x:c>
      <x:c r="I8" s="46" t="n">
        <x:f>IF('Assumptions'!$D$7&lt;&gt;"Valid",NA(),IF(I$6&lt;='Assumptions'!$D$10,'Assumptions'!$D$11*'Assumptions'!$D$38*'Assumptions'!I85,0))</x:f>
        <x:v>0</x:v>
      </x:c>
      <x:c r="J8" s="46" t="n">
        <x:f>IF('Assumptions'!$D$7&lt;&gt;"Valid",NA(),IF(J$6&lt;='Assumptions'!$D$10,'Assumptions'!$D$11*'Assumptions'!$D$38*'Assumptions'!J85,0))</x:f>
        <x:v>0</x:v>
      </x:c>
      <x:c r="K8" s="46" t="n">
        <x:f>IF('Assumptions'!$D$7&lt;&gt;"Valid",NA(),IF(K$6&lt;='Assumptions'!$D$10,'Assumptions'!$D$11*'Assumptions'!$D$38*'Assumptions'!K85,0))</x:f>
        <x:v>0</x:v>
      </x:c>
      <x:c r="L8" s="46" t="n">
        <x:f>IF('Assumptions'!$D$7&lt;&gt;"Valid",NA(),IF(L$6&lt;='Assumptions'!$D$10,'Assumptions'!$D$11*'Assumptions'!$D$38*'Assumptions'!L85,0))</x:f>
        <x:v>0</x:v>
      </x:c>
      <x:c r="M8" s="46" t="n">
        <x:f>IF('Assumptions'!$D$7&lt;&gt;"Valid",NA(),IF(M$6&lt;='Assumptions'!$D$10,'Assumptions'!$D$11*'Assumptions'!$D$38*'Assumptions'!M85,0))</x:f>
        <x:v>0</x:v>
      </x:c>
      <x:c r="N8" s="46" t="n">
        <x:f>IF('Assumptions'!$D$7&lt;&gt;"Valid",NA(),IF(N$6&lt;='Assumptions'!$D$10,'Assumptions'!$D$11*'Assumptions'!$D$38*'Assumptions'!N85,0))</x:f>
        <x:v>0</x:v>
      </x:c>
    </x:row>
    <x:row r="9" ht="22" customHeight="1">
      <x:c r="A9" s="2"/>
      <x:c r="B9" s="2"/>
      <x:c r="C9" s="2" t="str">
        <x:v>Phase 2 development</x:v>
      </x:c>
      <x:c r="D9" s="46" t="n">
        <x:f>IF(D$6&lt;='Assumptions'!$D$10,'Assumptions'!$D$12*'Assumptions'!$D$38*'Assumptions'!D88,0)</x:f>
        <x:v>0</x:v>
      </x:c>
      <x:c r="E9" s="46" t="n">
        <x:f>IF(E$6&lt;='Assumptions'!$D$10,'Assumptions'!$D$12*'Assumptions'!$D$38*'Assumptions'!E88,0)</x:f>
        <x:v>0</x:v>
      </x:c>
      <x:c r="F9" s="46" t="n">
        <x:f>IF(F$6&lt;='Assumptions'!$D$10,'Assumptions'!$D$12*'Assumptions'!$D$38*'Assumptions'!F88,0)</x:f>
        <x:v>26880000</x:v>
      </x:c>
      <x:c r="G9" s="46" t="n">
        <x:f>IF(G$6&lt;='Assumptions'!$D$10,'Assumptions'!$D$12*'Assumptions'!$D$38*'Assumptions'!G88,0)</x:f>
        <x:v>40320000</x:v>
      </x:c>
      <x:c r="H9" s="46" t="n">
        <x:f>IF(H$6&lt;='Assumptions'!$D$10,'Assumptions'!$D$12*'Assumptions'!$D$38*'Assumptions'!H88,0)</x:f>
        <x:v>0</x:v>
      </x:c>
      <x:c r="I9" s="46" t="n">
        <x:f>IF(I$6&lt;='Assumptions'!$D$10,'Assumptions'!$D$12*'Assumptions'!$D$38*'Assumptions'!I88,0)</x:f>
        <x:v>0</x:v>
      </x:c>
      <x:c r="J9" s="46" t="n">
        <x:f>IF(J$6&lt;='Assumptions'!$D$10,'Assumptions'!$D$12*'Assumptions'!$D$38*'Assumptions'!J88,0)</x:f>
        <x:v>0</x:v>
      </x:c>
      <x:c r="K9" s="46" t="n">
        <x:f>IF(K$6&lt;='Assumptions'!$D$10,'Assumptions'!$D$12*'Assumptions'!$D$38*'Assumptions'!K88,0)</x:f>
        <x:v>0</x:v>
      </x:c>
      <x:c r="L9" s="46" t="n">
        <x:f>IF(L$6&lt;='Assumptions'!$D$10,'Assumptions'!$D$12*'Assumptions'!$D$38*'Assumptions'!L88,0)</x:f>
        <x:v>0</x:v>
      </x:c>
      <x:c r="M9" s="46" t="n">
        <x:f>IF(M$6&lt;='Assumptions'!$D$10,'Assumptions'!$D$12*'Assumptions'!$D$38*'Assumptions'!M88,0)</x:f>
        <x:v>0</x:v>
      </x:c>
      <x:c r="N9" s="46" t="n">
        <x:f>IF(N$6&lt;='Assumptions'!$D$10,'Assumptions'!$D$12*'Assumptions'!$D$38*'Assumptions'!N88,0)</x:f>
        <x:v>0</x:v>
      </x:c>
    </x:row>
    <x:row r="10" ht="22" customHeight="1">
      <x:c r="A10" s="2"/>
      <x:c r="B10" s="2"/>
      <x:c r="C10" s="37" t="str">
        <x:v>Total development CapEx</x:v>
      </x:c>
      <x:c r="D10" s="71" t="n">
        <x:f>SUM(D8:D9)+D30</x:f>
        <x:v>40484000</x:v>
      </x:c>
      <x:c r="E10" s="71" t="n">
        <x:f>SUM(E8:E9)+E30</x:f>
        <x:v>37808000</x:v>
      </x:c>
      <x:c r="F10" s="71" t="n">
        <x:f>SUM(F8:F9)+F30</x:f>
        <x:v>26880000</x:v>
      </x:c>
      <x:c r="G10" s="71" t="n">
        <x:f>SUM(G8:G9)+G30</x:f>
        <x:v>40320000</x:v>
      </x:c>
      <x:c r="H10" s="71" t="n">
        <x:f>SUM(H8:H9)+H30</x:f>
        <x:v>0</x:v>
      </x:c>
      <x:c r="I10" s="71" t="n">
        <x:f>SUM(I8:I9)+I30</x:f>
        <x:v>0</x:v>
      </x:c>
      <x:c r="J10" s="71" t="n">
        <x:f>SUM(J8:J9)+J30</x:f>
        <x:v>0</x:v>
      </x:c>
      <x:c r="K10" s="71" t="n">
        <x:f>SUM(K8:K9)+K30</x:f>
        <x:v>0</x:v>
      </x:c>
      <x:c r="L10" s="71" t="n">
        <x:f>SUM(L8:L9)+L30</x:f>
        <x:v>0</x:v>
      </x:c>
      <x:c r="M10" s="71" t="n">
        <x:f>SUM(M8:M9)+M30</x:f>
        <x:v>0</x:v>
      </x:c>
      <x:c r="N10" s="71" t="n">
        <x:f>SUM(N8:N9)+N30</x:f>
        <x:v>0</x:v>
      </x:c>
    </x:row>
    <x:row r="11" ht="22" customHeight="1">
      <x:c r="A11" s="2"/>
      <x:c r="B11" s="2"/>
      <x:c r="C11" s="2"/>
      <x:c r="D11" s="48"/>
      <x:c r="E11" s="48"/>
      <x:c r="F11" s="48"/>
      <x:c r="G11" s="48"/>
      <x:c r="H11" s="48"/>
      <x:c r="I11" s="48"/>
      <x:c r="J11" s="48"/>
      <x:c r="K11" s="48"/>
      <x:c r="L11" s="48"/>
      <x:c r="M11" s="48"/>
      <x:c r="N11" s="48"/>
    </x:row>
    <x:row r="12" ht="22" customHeight="1">
      <x:c r="A12" s="2"/>
      <x:c r="B12" s="2"/>
      <x:c r="C12" s="2" t="str">
        <x:v>Site acquisition and enabling costs</x:v>
      </x:c>
      <x:c r="D12" s="49" t="n">
        <x:f>D30</x:f>
        <x:v>10244000</x:v>
      </x:c>
      <x:c r="E12" s="49" t="n">
        <x:f>E30</x:f>
        <x:v>848000</x:v>
      </x:c>
      <x:c r="F12" s="49" t="n">
        <x:f>F30</x:f>
        <x:v>0</x:v>
      </x:c>
      <x:c r="G12" s="49" t="n">
        <x:f>G30</x:f>
        <x:v>0</x:v>
      </x:c>
      <x:c r="H12" s="49" t="n">
        <x:f>H30</x:f>
        <x:v>0</x:v>
      </x:c>
      <x:c r="I12" s="49" t="n">
        <x:f>I30</x:f>
        <x:v>0</x:v>
      </x:c>
      <x:c r="J12" s="49" t="n">
        <x:f>J30</x:f>
        <x:v>0</x:v>
      </x:c>
      <x:c r="K12" s="49" t="n">
        <x:f>K30</x:f>
        <x:v>0</x:v>
      </x:c>
      <x:c r="L12" s="49" t="n">
        <x:f>L30</x:f>
        <x:v>0</x:v>
      </x:c>
      <x:c r="M12" s="49" t="n">
        <x:f>M30</x:f>
        <x:v>0</x:v>
      </x:c>
      <x:c r="N12" s="49" t="n">
        <x:f>N30</x:f>
        <x:v>0</x:v>
      </x:c>
    </x:row>
    <x:row r="13" ht="22" customHeight="1">
      <x:c r="A13" s="2"/>
      <x:c r="B13" s="2"/>
      <x:c r="C13" s="2" t="str">
        <x:v>Building / Shell</x:v>
      </x:c>
      <x:c r="D13" s="46" t="n">
        <x:f>SUM(D$8:D$9)*'Assumptions'!$D$94</x:f>
        <x:v>5040000.000000001</x:v>
      </x:c>
      <x:c r="E13" s="46" t="n">
        <x:f>SUM(E$8:E$9)*'Assumptions'!$D$94</x:f>
        <x:v>6160000.000000001</x:v>
      </x:c>
      <x:c r="F13" s="46" t="n">
        <x:f>SUM(F$8:F$9)*'Assumptions'!$D$94</x:f>
        <x:v>4480000.000000001</x:v>
      </x:c>
      <x:c r="G13" s="46" t="n">
        <x:f>SUM(G$8:G$9)*'Assumptions'!$D$94</x:f>
        <x:v>6720000.000000001</x:v>
      </x:c>
      <x:c r="H13" s="46" t="n">
        <x:f>SUM(H$8:H$9)*'Assumptions'!$D$94</x:f>
        <x:v>0</x:v>
      </x:c>
      <x:c r="I13" s="46" t="n">
        <x:f>SUM(I$8:I$9)*'Assumptions'!$D$94</x:f>
        <x:v>0</x:v>
      </x:c>
      <x:c r="J13" s="46" t="n">
        <x:f>SUM(J$8:J$9)*'Assumptions'!$D$94</x:f>
        <x:v>0</x:v>
      </x:c>
      <x:c r="K13" s="46" t="n">
        <x:f>SUM(K$8:K$9)*'Assumptions'!$D$94</x:f>
        <x:v>0</x:v>
      </x:c>
      <x:c r="L13" s="46" t="n">
        <x:f>SUM(L$8:L$9)*'Assumptions'!$D$94</x:f>
        <x:v>0</x:v>
      </x:c>
      <x:c r="M13" s="46" t="n">
        <x:f>SUM(M$8:M$9)*'Assumptions'!$D$94</x:f>
        <x:v>0</x:v>
      </x:c>
      <x:c r="N13" s="46" t="n">
        <x:f>SUM(N$8:N$9)*'Assumptions'!$D$94</x:f>
        <x:v>0</x:v>
      </x:c>
    </x:row>
    <x:row r="14" ht="22" customHeight="1">
      <x:c r="A14" s="2"/>
      <x:c r="B14" s="2"/>
      <x:c r="C14" s="2" t="str">
        <x:v>Electrical Infrastructure</x:v>
      </x:c>
      <x:c r="D14" s="46" t="n">
        <x:f>SUM(D$8:D$9)*'Assumptions'!$D$95</x:f>
        <x:v>6300000</x:v>
      </x:c>
      <x:c r="E14" s="46" t="n">
        <x:f>SUM(E$8:E$9)*'Assumptions'!$D$95</x:f>
        <x:v>7700000</x:v>
      </x:c>
      <x:c r="F14" s="46" t="n">
        <x:f>SUM(F$8:F$9)*'Assumptions'!$D$95</x:f>
        <x:v>5600000</x:v>
      </x:c>
      <x:c r="G14" s="46" t="n">
        <x:f>SUM(G$8:G$9)*'Assumptions'!$D$95</x:f>
        <x:v>8400000</x:v>
      </x:c>
      <x:c r="H14" s="46" t="n">
        <x:f>SUM(H$8:H$9)*'Assumptions'!$D$95</x:f>
        <x:v>0</x:v>
      </x:c>
      <x:c r="I14" s="46" t="n">
        <x:f>SUM(I$8:I$9)*'Assumptions'!$D$95</x:f>
        <x:v>0</x:v>
      </x:c>
      <x:c r="J14" s="46" t="n">
        <x:f>SUM(J$8:J$9)*'Assumptions'!$D$95</x:f>
        <x:v>0</x:v>
      </x:c>
      <x:c r="K14" s="46" t="n">
        <x:f>SUM(K$8:K$9)*'Assumptions'!$D$95</x:f>
        <x:v>0</x:v>
      </x:c>
      <x:c r="L14" s="46" t="n">
        <x:f>SUM(L$8:L$9)*'Assumptions'!$D$95</x:f>
        <x:v>0</x:v>
      </x:c>
      <x:c r="M14" s="46" t="n">
        <x:f>SUM(M$8:M$9)*'Assumptions'!$D$95</x:f>
        <x:v>0</x:v>
      </x:c>
      <x:c r="N14" s="46" t="n">
        <x:f>SUM(N$8:N$9)*'Assumptions'!$D$95</x:f>
        <x:v>0</x:v>
      </x:c>
    </x:row>
    <x:row r="15" ht="22" customHeight="1">
      <x:c r="A15" s="2"/>
      <x:c r="B15" s="2"/>
      <x:c r="C15" s="2" t="str">
        <x:v>Utility Interconnection</x:v>
      </x:c>
      <x:c r="D15" s="46" t="n">
        <x:f>SUM(D$8:D$9)*'Assumptions'!$D$96</x:f>
        <x:v>1260000.0000000002</x:v>
      </x:c>
      <x:c r="E15" s="46" t="n">
        <x:f>SUM(E$8:E$9)*'Assumptions'!$D$96</x:f>
        <x:v>1540000.0000000002</x:v>
      </x:c>
      <x:c r="F15" s="46" t="n">
        <x:f>SUM(F$8:F$9)*'Assumptions'!$D$96</x:f>
        <x:v>1120000.0000000002</x:v>
      </x:c>
      <x:c r="G15" s="46" t="n">
        <x:f>SUM(G$8:G$9)*'Assumptions'!$D$96</x:f>
        <x:v>1680000.0000000002</x:v>
      </x:c>
      <x:c r="H15" s="46" t="n">
        <x:f>SUM(H$8:H$9)*'Assumptions'!$D$96</x:f>
        <x:v>0</x:v>
      </x:c>
      <x:c r="I15" s="46" t="n">
        <x:f>SUM(I$8:I$9)*'Assumptions'!$D$96</x:f>
        <x:v>0</x:v>
      </x:c>
      <x:c r="J15" s="46" t="n">
        <x:f>SUM(J$8:J$9)*'Assumptions'!$D$96</x:f>
        <x:v>0</x:v>
      </x:c>
      <x:c r="K15" s="46" t="n">
        <x:f>SUM(K$8:K$9)*'Assumptions'!$D$96</x:f>
        <x:v>0</x:v>
      </x:c>
      <x:c r="L15" s="46" t="n">
        <x:f>SUM(L$8:L$9)*'Assumptions'!$D$96</x:f>
        <x:v>0</x:v>
      </x:c>
      <x:c r="M15" s="46" t="n">
        <x:f>SUM(M$8:M$9)*'Assumptions'!$D$96</x:f>
        <x:v>0</x:v>
      </x:c>
      <x:c r="N15" s="46" t="n">
        <x:f>SUM(N$8:N$9)*'Assumptions'!$D$96</x:f>
        <x:v>0</x:v>
      </x:c>
    </x:row>
    <x:row r="16" ht="22" customHeight="1">
      <x:c r="A16" s="2"/>
      <x:c r="B16" s="2"/>
      <x:c r="C16" s="2" t="str">
        <x:v>UPS</x:v>
      </x:c>
      <x:c r="D16" s="46" t="n">
        <x:f>SUM(D$8:D$9)*'Assumptions'!$D$97</x:f>
        <x:v>2205000</x:v>
      </x:c>
      <x:c r="E16" s="46" t="n">
        <x:f>SUM(E$8:E$9)*'Assumptions'!$D$97</x:f>
        <x:v>2695000</x:v>
      </x:c>
      <x:c r="F16" s="46" t="n">
        <x:f>SUM(F$8:F$9)*'Assumptions'!$D$97</x:f>
        <x:v>1960000.0000000002</x:v>
      </x:c>
      <x:c r="G16" s="46" t="n">
        <x:f>SUM(G$8:G$9)*'Assumptions'!$D$97</x:f>
        <x:v>2940000</x:v>
      </x:c>
      <x:c r="H16" s="46" t="n">
        <x:f>SUM(H$8:H$9)*'Assumptions'!$D$97</x:f>
        <x:v>0</x:v>
      </x:c>
      <x:c r="I16" s="46" t="n">
        <x:f>SUM(I$8:I$9)*'Assumptions'!$D$97</x:f>
        <x:v>0</x:v>
      </x:c>
      <x:c r="J16" s="46" t="n">
        <x:f>SUM(J$8:J$9)*'Assumptions'!$D$97</x:f>
        <x:v>0</x:v>
      </x:c>
      <x:c r="K16" s="46" t="n">
        <x:f>SUM(K$8:K$9)*'Assumptions'!$D$97</x:f>
        <x:v>0</x:v>
      </x:c>
      <x:c r="L16" s="46" t="n">
        <x:f>SUM(L$8:L$9)*'Assumptions'!$D$97</x:f>
        <x:v>0</x:v>
      </x:c>
      <x:c r="M16" s="46" t="n">
        <x:f>SUM(M$8:M$9)*'Assumptions'!$D$97</x:f>
        <x:v>0</x:v>
      </x:c>
      <x:c r="N16" s="46" t="n">
        <x:f>SUM(N$8:N$9)*'Assumptions'!$D$97</x:f>
        <x:v>0</x:v>
      </x:c>
    </x:row>
    <x:row r="17" ht="22" customHeight="1">
      <x:c r="A17" s="2"/>
      <x:c r="B17" s="2"/>
      <x:c r="C17" s="2" t="str">
        <x:v>Generators</x:v>
      </x:c>
      <x:c r="D17" s="46" t="n">
        <x:f>SUM(D$8:D$9)*'Assumptions'!$D$98</x:f>
        <x:v>2520000.0000000005</x:v>
      </x:c>
      <x:c r="E17" s="46" t="n">
        <x:f>SUM(E$8:E$9)*'Assumptions'!$D$98</x:f>
        <x:v>3080000.0000000005</x:v>
      </x:c>
      <x:c r="F17" s="46" t="n">
        <x:f>SUM(F$8:F$9)*'Assumptions'!$D$98</x:f>
        <x:v>2240000.0000000005</x:v>
      </x:c>
      <x:c r="G17" s="46" t="n">
        <x:f>SUM(G$8:G$9)*'Assumptions'!$D$98</x:f>
        <x:v>3360000.0000000005</x:v>
      </x:c>
      <x:c r="H17" s="46" t="n">
        <x:f>SUM(H$8:H$9)*'Assumptions'!$D$98</x:f>
        <x:v>0</x:v>
      </x:c>
      <x:c r="I17" s="46" t="n">
        <x:f>SUM(I$8:I$9)*'Assumptions'!$D$98</x:f>
        <x:v>0</x:v>
      </x:c>
      <x:c r="J17" s="46" t="n">
        <x:f>SUM(J$8:J$9)*'Assumptions'!$D$98</x:f>
        <x:v>0</x:v>
      </x:c>
      <x:c r="K17" s="46" t="n">
        <x:f>SUM(K$8:K$9)*'Assumptions'!$D$98</x:f>
        <x:v>0</x:v>
      </x:c>
      <x:c r="L17" s="46" t="n">
        <x:f>SUM(L$8:L$9)*'Assumptions'!$D$98</x:f>
        <x:v>0</x:v>
      </x:c>
      <x:c r="M17" s="46" t="n">
        <x:f>SUM(M$8:M$9)*'Assumptions'!$D$98</x:f>
        <x:v>0</x:v>
      </x:c>
      <x:c r="N17" s="46" t="n">
        <x:f>SUM(N$8:N$9)*'Assumptions'!$D$98</x:f>
        <x:v>0</x:v>
      </x:c>
    </x:row>
    <x:row r="18" ht="22" customHeight="1">
      <x:c r="A18" s="2"/>
      <x:c r="B18" s="2"/>
      <x:c r="C18" s="2" t="str">
        <x:v>Cooling Infrastructure</x:v>
      </x:c>
      <x:c r="D18" s="46" t="n">
        <x:f>SUM(D$8:D$9)*'Assumptions'!$D$99</x:f>
        <x:v>3780000</x:v>
      </x:c>
      <x:c r="E18" s="46" t="n">
        <x:f>SUM(E$8:E$9)*'Assumptions'!$D$99</x:f>
        <x:v>4620000</x:v>
      </x:c>
      <x:c r="F18" s="46" t="n">
        <x:f>SUM(F$8:F$9)*'Assumptions'!$D$99</x:f>
        <x:v>3360000</x:v>
      </x:c>
      <x:c r="G18" s="46" t="n">
        <x:f>SUM(G$8:G$9)*'Assumptions'!$D$99</x:f>
        <x:v>5040000</x:v>
      </x:c>
      <x:c r="H18" s="46" t="n">
        <x:f>SUM(H$8:H$9)*'Assumptions'!$D$99</x:f>
        <x:v>0</x:v>
      </x:c>
      <x:c r="I18" s="46" t="n">
        <x:f>SUM(I$8:I$9)*'Assumptions'!$D$99</x:f>
        <x:v>0</x:v>
      </x:c>
      <x:c r="J18" s="46" t="n">
        <x:f>SUM(J$8:J$9)*'Assumptions'!$D$99</x:f>
        <x:v>0</x:v>
      </x:c>
      <x:c r="K18" s="46" t="n">
        <x:f>SUM(K$8:K$9)*'Assumptions'!$D$99</x:f>
        <x:v>0</x:v>
      </x:c>
      <x:c r="L18" s="46" t="n">
        <x:f>SUM(L$8:L$9)*'Assumptions'!$D$99</x:f>
        <x:v>0</x:v>
      </x:c>
      <x:c r="M18" s="46" t="n">
        <x:f>SUM(M$8:M$9)*'Assumptions'!$D$99</x:f>
        <x:v>0</x:v>
      </x:c>
      <x:c r="N18" s="46" t="n">
        <x:f>SUM(N$8:N$9)*'Assumptions'!$D$99</x:f>
        <x:v>0</x:v>
      </x:c>
    </x:row>
    <x:row r="19" ht="22" customHeight="1">
      <x:c r="A19" s="2"/>
      <x:c r="B19" s="2"/>
      <x:c r="C19" s="2" t="str">
        <x:v>Networking</x:v>
      </x:c>
      <x:c r="D19" s="46" t="n">
        <x:f>SUM(D$8:D$9)*'Assumptions'!$D$100</x:f>
        <x:v>945000</x:v>
      </x:c>
      <x:c r="E19" s="46" t="n">
        <x:f>SUM(E$8:E$9)*'Assumptions'!$D$100</x:f>
        <x:v>1155000</x:v>
      </x:c>
      <x:c r="F19" s="46" t="n">
        <x:f>SUM(F$8:F$9)*'Assumptions'!$D$100</x:f>
        <x:v>840000</x:v>
      </x:c>
      <x:c r="G19" s="46" t="n">
        <x:f>SUM(G$8:G$9)*'Assumptions'!$D$100</x:f>
        <x:v>1260000</x:v>
      </x:c>
      <x:c r="H19" s="46" t="n">
        <x:f>SUM(H$8:H$9)*'Assumptions'!$D$100</x:f>
        <x:v>0</x:v>
      </x:c>
      <x:c r="I19" s="46" t="n">
        <x:f>SUM(I$8:I$9)*'Assumptions'!$D$100</x:f>
        <x:v>0</x:v>
      </x:c>
      <x:c r="J19" s="46" t="n">
        <x:f>SUM(J$8:J$9)*'Assumptions'!$D$100</x:f>
        <x:v>0</x:v>
      </x:c>
      <x:c r="K19" s="46" t="n">
        <x:f>SUM(K$8:K$9)*'Assumptions'!$D$100</x:f>
        <x:v>0</x:v>
      </x:c>
      <x:c r="L19" s="46" t="n">
        <x:f>SUM(L$8:L$9)*'Assumptions'!$D$100</x:f>
        <x:v>0</x:v>
      </x:c>
      <x:c r="M19" s="46" t="n">
        <x:f>SUM(M$8:M$9)*'Assumptions'!$D$100</x:f>
        <x:v>0</x:v>
      </x:c>
      <x:c r="N19" s="46" t="n">
        <x:f>SUM(N$8:N$9)*'Assumptions'!$D$100</x:f>
        <x:v>0</x:v>
      </x:c>
    </x:row>
    <x:row r="20" ht="22" customHeight="1">
      <x:c r="A20" s="2"/>
      <x:c r="B20" s="2"/>
      <x:c r="C20" s="2" t="str">
        <x:v>Racks / White Space</x:v>
      </x:c>
      <x:c r="D20" s="46" t="n">
        <x:f>SUM(D$8:D$9)*'Assumptions'!$D$101</x:f>
        <x:v>945000</x:v>
      </x:c>
      <x:c r="E20" s="46" t="n">
        <x:f>SUM(E$8:E$9)*'Assumptions'!$D$101</x:f>
        <x:v>1155000</x:v>
      </x:c>
      <x:c r="F20" s="46" t="n">
        <x:f>SUM(F$8:F$9)*'Assumptions'!$D$101</x:f>
        <x:v>840000</x:v>
      </x:c>
      <x:c r="G20" s="46" t="n">
        <x:f>SUM(G$8:G$9)*'Assumptions'!$D$101</x:f>
        <x:v>1260000</x:v>
      </x:c>
      <x:c r="H20" s="46" t="n">
        <x:f>SUM(H$8:H$9)*'Assumptions'!$D$101</x:f>
        <x:v>0</x:v>
      </x:c>
      <x:c r="I20" s="46" t="n">
        <x:f>SUM(I$8:I$9)*'Assumptions'!$D$101</x:f>
        <x:v>0</x:v>
      </x:c>
      <x:c r="J20" s="46" t="n">
        <x:f>SUM(J$8:J$9)*'Assumptions'!$D$101</x:f>
        <x:v>0</x:v>
      </x:c>
      <x:c r="K20" s="46" t="n">
        <x:f>SUM(K$8:K$9)*'Assumptions'!$D$101</x:f>
        <x:v>0</x:v>
      </x:c>
      <x:c r="L20" s="46" t="n">
        <x:f>SUM(L$8:L$9)*'Assumptions'!$D$101</x:f>
        <x:v>0</x:v>
      </x:c>
      <x:c r="M20" s="46" t="n">
        <x:f>SUM(M$8:M$9)*'Assumptions'!$D$101</x:f>
        <x:v>0</x:v>
      </x:c>
      <x:c r="N20" s="46" t="n">
        <x:f>SUM(N$8:N$9)*'Assumptions'!$D$101</x:f>
        <x:v>0</x:v>
      </x:c>
    </x:row>
    <x:row r="21" ht="22" customHeight="1">
      <x:c r="A21" s="2"/>
      <x:c r="B21" s="2"/>
      <x:c r="C21" s="2" t="str">
        <x:v>Security</x:v>
      </x:c>
      <x:c r="D21" s="46" t="n">
        <x:f>SUM(D$8:D$9)*'Assumptions'!$D$102</x:f>
        <x:v>315000.00000000006</x:v>
      </x:c>
      <x:c r="E21" s="46" t="n">
        <x:f>SUM(E$8:E$9)*'Assumptions'!$D$102</x:f>
        <x:v>385000.00000000006</x:v>
      </x:c>
      <x:c r="F21" s="46" t="n">
        <x:f>SUM(F$8:F$9)*'Assumptions'!$D$102</x:f>
        <x:v>280000.00000000006</x:v>
      </x:c>
      <x:c r="G21" s="46" t="n">
        <x:f>SUM(G$8:G$9)*'Assumptions'!$D$102</x:f>
        <x:v>420000.00000000006</x:v>
      </x:c>
      <x:c r="H21" s="46" t="n">
        <x:f>SUM(H$8:H$9)*'Assumptions'!$D$102</x:f>
        <x:v>0</x:v>
      </x:c>
      <x:c r="I21" s="46" t="n">
        <x:f>SUM(I$8:I$9)*'Assumptions'!$D$102</x:f>
        <x:v>0</x:v>
      </x:c>
      <x:c r="J21" s="46" t="n">
        <x:f>SUM(J$8:J$9)*'Assumptions'!$D$102</x:f>
        <x:v>0</x:v>
      </x:c>
      <x:c r="K21" s="46" t="n">
        <x:f>SUM(K$8:K$9)*'Assumptions'!$D$102</x:f>
        <x:v>0</x:v>
      </x:c>
      <x:c r="L21" s="46" t="n">
        <x:f>SUM(L$8:L$9)*'Assumptions'!$D$102</x:f>
        <x:v>0</x:v>
      </x:c>
      <x:c r="M21" s="46" t="n">
        <x:f>SUM(M$8:M$9)*'Assumptions'!$D$102</x:f>
        <x:v>0</x:v>
      </x:c>
      <x:c r="N21" s="46" t="n">
        <x:f>SUM(N$8:N$9)*'Assumptions'!$D$102</x:f>
        <x:v>0</x:v>
      </x:c>
    </x:row>
    <x:row r="22" ht="22" customHeight="1">
      <x:c r="A22" s="2"/>
      <x:c r="B22" s="2"/>
      <x:c r="C22" s="2" t="str">
        <x:v>Engineering</x:v>
      </x:c>
      <x:c r="D22" s="46" t="n">
        <x:f>SUM(D$8:D$9)*'Assumptions'!$D$103</x:f>
        <x:v>1260000.0000000002</x:v>
      </x:c>
      <x:c r="E22" s="46" t="n">
        <x:f>SUM(E$8:E$9)*'Assumptions'!$D$103</x:f>
        <x:v>1540000.0000000002</x:v>
      </x:c>
      <x:c r="F22" s="46" t="n">
        <x:f>SUM(F$8:F$9)*'Assumptions'!$D$103</x:f>
        <x:v>1120000.0000000002</x:v>
      </x:c>
      <x:c r="G22" s="46" t="n">
        <x:f>SUM(G$8:G$9)*'Assumptions'!$D$103</x:f>
        <x:v>1680000.0000000002</x:v>
      </x:c>
      <x:c r="H22" s="46" t="n">
        <x:f>SUM(H$8:H$9)*'Assumptions'!$D$103</x:f>
        <x:v>0</x:v>
      </x:c>
      <x:c r="I22" s="46" t="n">
        <x:f>SUM(I$8:I$9)*'Assumptions'!$D$103</x:f>
        <x:v>0</x:v>
      </x:c>
      <x:c r="J22" s="46" t="n">
        <x:f>SUM(J$8:J$9)*'Assumptions'!$D$103</x:f>
        <x:v>0</x:v>
      </x:c>
      <x:c r="K22" s="46" t="n">
        <x:f>SUM(K$8:K$9)*'Assumptions'!$D$103</x:f>
        <x:v>0</x:v>
      </x:c>
      <x:c r="L22" s="46" t="n">
        <x:f>SUM(L$8:L$9)*'Assumptions'!$D$103</x:f>
        <x:v>0</x:v>
      </x:c>
      <x:c r="M22" s="46" t="n">
        <x:f>SUM(M$8:M$9)*'Assumptions'!$D$103</x:f>
        <x:v>0</x:v>
      </x:c>
      <x:c r="N22" s="46" t="n">
        <x:f>SUM(N$8:N$9)*'Assumptions'!$D$103</x:f>
        <x:v>0</x:v>
      </x:c>
    </x:row>
    <x:row r="23" ht="22" customHeight="1">
      <x:c r="A23" s="2"/>
      <x:c r="B23" s="2"/>
      <x:c r="C23" s="2" t="str">
        <x:v>Construction</x:v>
      </x:c>
      <x:c r="D23" s="46" t="n">
        <x:f>SUM(D$8:D$9)*'Assumptions'!$D$104</x:f>
        <x:v>2520000.0000000005</x:v>
      </x:c>
      <x:c r="E23" s="46" t="n">
        <x:f>SUM(E$8:E$9)*'Assumptions'!$D$104</x:f>
        <x:v>3080000.0000000005</x:v>
      </x:c>
      <x:c r="F23" s="46" t="n">
        <x:f>SUM(F$8:F$9)*'Assumptions'!$D$104</x:f>
        <x:v>2240000.0000000005</x:v>
      </x:c>
      <x:c r="G23" s="46" t="n">
        <x:f>SUM(G$8:G$9)*'Assumptions'!$D$104</x:f>
        <x:v>3360000.0000000005</x:v>
      </x:c>
      <x:c r="H23" s="46" t="n">
        <x:f>SUM(H$8:H$9)*'Assumptions'!$D$104</x:f>
        <x:v>0</x:v>
      </x:c>
      <x:c r="I23" s="46" t="n">
        <x:f>SUM(I$8:I$9)*'Assumptions'!$D$104</x:f>
        <x:v>0</x:v>
      </x:c>
      <x:c r="J23" s="46" t="n">
        <x:f>SUM(J$8:J$9)*'Assumptions'!$D$104</x:f>
        <x:v>0</x:v>
      </x:c>
      <x:c r="K23" s="46" t="n">
        <x:f>SUM(K$8:K$9)*'Assumptions'!$D$104</x:f>
        <x:v>0</x:v>
      </x:c>
      <x:c r="L23" s="46" t="n">
        <x:f>SUM(L$8:L$9)*'Assumptions'!$D$104</x:f>
        <x:v>0</x:v>
      </x:c>
      <x:c r="M23" s="46" t="n">
        <x:f>SUM(M$8:M$9)*'Assumptions'!$D$104</x:f>
        <x:v>0</x:v>
      </x:c>
      <x:c r="N23" s="46" t="n">
        <x:f>SUM(N$8:N$9)*'Assumptions'!$D$104</x:f>
        <x:v>0</x:v>
      </x:c>
    </x:row>
    <x:row r="24" ht="22" customHeight="1">
      <x:c r="A24" s="2"/>
      <x:c r="B24" s="2"/>
      <x:c r="C24" s="2" t="str">
        <x:v>Development Costs</x:v>
      </x:c>
      <x:c r="D24" s="46" t="n">
        <x:f>SUM(D$8:D$9)*'Assumptions'!$D$105</x:f>
        <x:v>945000</x:v>
      </x:c>
      <x:c r="E24" s="46" t="n">
        <x:f>SUM(E$8:E$9)*'Assumptions'!$D$105</x:f>
        <x:v>1155000</x:v>
      </x:c>
      <x:c r="F24" s="46" t="n">
        <x:f>SUM(F$8:F$9)*'Assumptions'!$D$105</x:f>
        <x:v>840000</x:v>
      </x:c>
      <x:c r="G24" s="46" t="n">
        <x:f>SUM(G$8:G$9)*'Assumptions'!$D$105</x:f>
        <x:v>1260000</x:v>
      </x:c>
      <x:c r="H24" s="46" t="n">
        <x:f>SUM(H$8:H$9)*'Assumptions'!$D$105</x:f>
        <x:v>0</x:v>
      </x:c>
      <x:c r="I24" s="46" t="n">
        <x:f>SUM(I$8:I$9)*'Assumptions'!$D$105</x:f>
        <x:v>0</x:v>
      </x:c>
      <x:c r="J24" s="46" t="n">
        <x:f>SUM(J$8:J$9)*'Assumptions'!$D$105</x:f>
        <x:v>0</x:v>
      </x:c>
      <x:c r="K24" s="46" t="n">
        <x:f>SUM(K$8:K$9)*'Assumptions'!$D$105</x:f>
        <x:v>0</x:v>
      </x:c>
      <x:c r="L24" s="46" t="n">
        <x:f>SUM(L$8:L$9)*'Assumptions'!$D$105</x:f>
        <x:v>0</x:v>
      </x:c>
      <x:c r="M24" s="46" t="n">
        <x:f>SUM(M$8:M$9)*'Assumptions'!$D$105</x:f>
        <x:v>0</x:v>
      </x:c>
      <x:c r="N24" s="46" t="n">
        <x:f>SUM(N$8:N$9)*'Assumptions'!$D$105</x:f>
        <x:v>0</x:v>
      </x:c>
    </x:row>
    <x:row r="25" ht="22" customHeight="1">
      <x:c r="A25" s="2"/>
      <x:c r="B25" s="2"/>
      <x:c r="C25" s="2" t="str">
        <x:v>Contingency</x:v>
      </x:c>
      <x:c r="D25" s="46" t="n">
        <x:f>SUM(D$8:D$9)*'Assumptions'!$D$106</x:f>
        <x:v>2205000</x:v>
      </x:c>
      <x:c r="E25" s="46" t="n">
        <x:f>SUM(E$8:E$9)*'Assumptions'!$D$106</x:f>
        <x:v>2695000</x:v>
      </x:c>
      <x:c r="F25" s="46" t="n">
        <x:f>SUM(F$8:F$9)*'Assumptions'!$D$106</x:f>
        <x:v>1960000.0000000002</x:v>
      </x:c>
      <x:c r="G25" s="46" t="n">
        <x:f>SUM(G$8:G$9)*'Assumptions'!$D$106</x:f>
        <x:v>2940000</x:v>
      </x:c>
      <x:c r="H25" s="46" t="n">
        <x:f>SUM(H$8:H$9)*'Assumptions'!$D$106</x:f>
        <x:v>0</x:v>
      </x:c>
      <x:c r="I25" s="46" t="n">
        <x:f>SUM(I$8:I$9)*'Assumptions'!$D$106</x:f>
        <x:v>0</x:v>
      </x:c>
      <x:c r="J25" s="46" t="n">
        <x:f>SUM(J$8:J$9)*'Assumptions'!$D$106</x:f>
        <x:v>0</x:v>
      </x:c>
      <x:c r="K25" s="46" t="n">
        <x:f>SUM(K$8:K$9)*'Assumptions'!$D$106</x:f>
        <x:v>0</x:v>
      </x:c>
      <x:c r="L25" s="46" t="n">
        <x:f>SUM(L$8:L$9)*'Assumptions'!$D$106</x:f>
        <x:v>0</x:v>
      </x:c>
      <x:c r="M25" s="46" t="n">
        <x:f>SUM(M$8:M$9)*'Assumptions'!$D$106</x:f>
        <x:v>0</x:v>
      </x:c>
      <x:c r="N25" s="46" t="n">
        <x:f>SUM(N$8:N$9)*'Assumptions'!$D$106</x:f>
        <x:v>0</x:v>
      </x:c>
    </x:row>
    <x:row r="26" ht="22" customHeight="1">
      <x:c r="A26" s="2"/>
      <x:c r="B26" s="2"/>
      <x:c r="C26" s="2" t="str">
        <x:v>Other / Unallocated</x:v>
      </x:c>
      <x:c r="D26" s="46" t="n">
        <x:f>SUM(D$8:D$9)*'Assumptions'!$D$107</x:f>
        <x:v>0</x:v>
      </x:c>
      <x:c r="E26" s="46" t="n">
        <x:f>SUM(E$8:E$9)*'Assumptions'!$D$107</x:f>
        <x:v>0</x:v>
      </x:c>
      <x:c r="F26" s="46" t="n">
        <x:f>SUM(F$8:F$9)*'Assumptions'!$D$107</x:f>
        <x:v>0</x:v>
      </x:c>
      <x:c r="G26" s="46" t="n">
        <x:f>SUM(G$8:G$9)*'Assumptions'!$D$107</x:f>
        <x:v>0</x:v>
      </x:c>
      <x:c r="H26" s="46" t="n">
        <x:f>SUM(H$8:H$9)*'Assumptions'!$D$107</x:f>
        <x:v>0</x:v>
      </x:c>
      <x:c r="I26" s="46" t="n">
        <x:f>SUM(I$8:I$9)*'Assumptions'!$D$107</x:f>
        <x:v>0</x:v>
      </x:c>
      <x:c r="J26" s="46" t="n">
        <x:f>SUM(J$8:J$9)*'Assumptions'!$D$107</x:f>
        <x:v>0</x:v>
      </x:c>
      <x:c r="K26" s="46" t="n">
        <x:f>SUM(K$8:K$9)*'Assumptions'!$D$107</x:f>
        <x:v>0</x:v>
      </x:c>
      <x:c r="L26" s="46" t="n">
        <x:f>SUM(L$8:L$9)*'Assumptions'!$D$107</x:f>
        <x:v>0</x:v>
      </x:c>
      <x:c r="M26" s="46" t="n">
        <x:f>SUM(M$8:M$9)*'Assumptions'!$D$107</x:f>
        <x:v>0</x:v>
      </x:c>
      <x:c r="N26" s="46" t="n">
        <x:f>SUM(N$8:N$9)*'Assumptions'!$D$107</x:f>
        <x:v>0</x:v>
      </x:c>
    </x:row>
    <x:row r="27" ht="22" customHeight="1">
      <x:c r="A27" s="2"/>
      <x:c r="B27" s="2"/>
      <x:c r="C27" s="2"/>
      <x:c r="D27" s="48"/>
      <x:c r="E27" s="48"/>
      <x:c r="F27" s="48"/>
      <x:c r="G27" s="48"/>
      <x:c r="H27" s="48"/>
      <x:c r="I27" s="48"/>
      <x:c r="J27" s="48"/>
      <x:c r="K27" s="48"/>
      <x:c r="L27" s="48"/>
      <x:c r="M27" s="48"/>
      <x:c r="N27" s="48"/>
    </x:row>
    <x:row r="28" ht="22" customHeight="1">
      <x:c r="A28" s="2"/>
      <x:c r="B28" s="2"/>
      <x:c r="C28" s="37" t="str">
        <x:v>Cumulative development CapEx</x:v>
      </x:c>
      <x:c r="D28" s="71" t="n">
        <x:f>SUM($D10:D10)</x:f>
        <x:v>40484000</x:v>
      </x:c>
      <x:c r="E28" s="71" t="n">
        <x:f>SUM($D10:E10)</x:f>
        <x:v>78292000</x:v>
      </x:c>
      <x:c r="F28" s="71" t="n">
        <x:f>SUM($D10:F10)</x:f>
        <x:v>105172000</x:v>
      </x:c>
      <x:c r="G28" s="71" t="n">
        <x:f>SUM($D10:G10)</x:f>
        <x:v>145492000</x:v>
      </x:c>
      <x:c r="H28" s="71" t="n">
        <x:f>SUM($D10:H10)</x:f>
        <x:v>145492000</x:v>
      </x:c>
      <x:c r="I28" s="71" t="n">
        <x:f>SUM($D10:I10)</x:f>
        <x:v>145492000</x:v>
      </x:c>
      <x:c r="J28" s="71" t="n">
        <x:f>SUM($D10:J10)</x:f>
        <x:v>145492000</x:v>
      </x:c>
      <x:c r="K28" s="71" t="n">
        <x:f>SUM($D10:K10)</x:f>
        <x:v>145492000</x:v>
      </x:c>
      <x:c r="L28" s="71" t="n">
        <x:f>SUM($D10:L10)</x:f>
        <x:v>145492000</x:v>
      </x:c>
      <x:c r="M28" s="71" t="n">
        <x:f>SUM($D10:M10)</x:f>
        <x:v>145492000</x:v>
      </x:c>
      <x:c r="N28" s="71" t="n">
        <x:f>SUM($D10:N10)</x:f>
        <x:v>145492000</x:v>
      </x:c>
    </x:row>
    <x:row r="29" ht="22" customHeight="1">
      <x:c r="A29" s="2"/>
      <x:c r="B29" s="2"/>
      <x:c r="C29" s="2" t="str">
        <x:v>Remaining development commitment</x:v>
      </x:c>
      <x:c r="D29" s="46" t="n">
        <x:f>'Assumptions'!$D$38*SUM('Assumptions'!$D$11:$D$12)+'Site'!$D$23-D28</x:f>
        <x:v>105008000</x:v>
      </x:c>
      <x:c r="E29" s="46" t="n">
        <x:f>'Assumptions'!$D$38*SUM('Assumptions'!$D$11:$D$12)+'Site'!$D$23-E28</x:f>
        <x:v>67200000</x:v>
      </x:c>
      <x:c r="F29" s="46" t="n">
        <x:f>'Assumptions'!$D$38*SUM('Assumptions'!$D$11:$D$12)+'Site'!$D$23-F28</x:f>
        <x:v>40320000</x:v>
      </x:c>
      <x:c r="G29" s="46" t="n">
        <x:f>'Assumptions'!$D$38*SUM('Assumptions'!$D$11:$D$12)+'Site'!$D$23-G28</x:f>
        <x:v>0</x:v>
      </x:c>
      <x:c r="H29" s="46" t="n">
        <x:f>'Assumptions'!$D$38*SUM('Assumptions'!$D$11:$D$12)+'Site'!$D$23-H28</x:f>
        <x:v>0</x:v>
      </x:c>
      <x:c r="I29" s="46" t="n">
        <x:f>'Assumptions'!$D$38*SUM('Assumptions'!$D$11:$D$12)+'Site'!$D$23-I28</x:f>
        <x:v>0</x:v>
      </x:c>
      <x:c r="J29" s="46" t="n">
        <x:f>'Assumptions'!$D$38*SUM('Assumptions'!$D$11:$D$12)+'Site'!$D$23-J28</x:f>
        <x:v>0</x:v>
      </x:c>
      <x:c r="K29" s="46" t="n">
        <x:f>'Assumptions'!$D$38*SUM('Assumptions'!$D$11:$D$12)+'Site'!$D$23-K28</x:f>
        <x:v>0</x:v>
      </x:c>
      <x:c r="L29" s="46" t="n">
        <x:f>'Assumptions'!$D$38*SUM('Assumptions'!$D$11:$D$12)+'Site'!$D$23-L28</x:f>
        <x:v>0</x:v>
      </x:c>
      <x:c r="M29" s="46" t="n">
        <x:f>'Assumptions'!$D$38*SUM('Assumptions'!$D$11:$D$12)+'Site'!$D$23-M28</x:f>
        <x:v>0</x:v>
      </x:c>
      <x:c r="N29" s="46" t="n">
        <x:f>'Assumptions'!$D$38*SUM('Assumptions'!$D$11:$D$12)+'Site'!$D$23-N28</x:f>
        <x:v>0</x:v>
      </x:c>
    </x:row>
    <x:row r="30" ht="22" customHeight="1">
      <x:c r="A30" s="2"/>
      <x:c r="B30" s="2"/>
      <x:c r="C30" s="2" t="str">
        <x:v>Site cash costs (included above)</x:v>
      </x:c>
      <x:c r="D30" s="46" t="n">
        <x:f>'Site'!D31</x:f>
        <x:v>10244000</x:v>
      </x:c>
      <x:c r="E30" s="46" t="n">
        <x:f>'Site'!E31</x:f>
        <x:v>848000</x:v>
      </x:c>
      <x:c r="F30" s="46" t="n">
        <x:f>'Site'!F31</x:f>
        <x:v>0</x:v>
      </x:c>
      <x:c r="G30" s="46" t="n">
        <x:f>'Site'!G31</x:f>
        <x:v>0</x:v>
      </x:c>
      <x:c r="H30" s="46" t="n">
        <x:f>'Site'!H31</x:f>
        <x:v>0</x:v>
      </x:c>
      <x:c r="I30" s="46" t="n">
        <x:f>'Site'!I31</x:f>
        <x:v>0</x:v>
      </x:c>
      <x:c r="J30" s="46" t="n">
        <x:f>'Site'!J31</x:f>
        <x:v>0</x:v>
      </x:c>
      <x:c r="K30" s="46" t="n">
        <x:f>'Site'!K31</x:f>
        <x:v>0</x:v>
      </x:c>
      <x:c r="L30" s="46" t="n">
        <x:f>'Site'!L31</x:f>
        <x:v>0</x:v>
      </x:c>
      <x:c r="M30" s="46" t="n">
        <x:f>'Site'!M31</x:f>
        <x:v>0</x:v>
      </x:c>
      <x:c r="N30" s="46" t="n">
        <x:f>'Site'!N31</x:f>
        <x:v>0</x:v>
      </x:c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Operations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9" t="str">
        <x:v>Calendar year</x:v>
      </x:c>
      <x:c r="D5" s="10" t="n">
        <x:f>'Assumptions'!$D$9+D6</x:f>
        <x:v>2026</x:v>
      </x:c>
      <x:c r="E5" s="10" t="n">
        <x:f>'Assumptions'!$D$9+E6</x:f>
        <x:v>2027</x:v>
      </x:c>
      <x:c r="F5" s="10" t="n">
        <x:f>'Assumptions'!$D$9+F6</x:f>
        <x:v>2028</x:v>
      </x:c>
      <x:c r="G5" s="10" t="n">
        <x:f>'Assumptions'!$D$9+G6</x:f>
        <x:v>2029</x:v>
      </x:c>
      <x:c r="H5" s="10" t="n">
        <x:f>'Assumptions'!$D$9+H6</x:f>
        <x:v>2030</x:v>
      </x:c>
      <x:c r="I5" s="10" t="n">
        <x:f>'Assumptions'!$D$9+I6</x:f>
        <x:v>2031</x:v>
      </x:c>
      <x:c r="J5" s="10" t="n">
        <x:f>'Assumptions'!$D$9+J6</x:f>
        <x:v>2032</x:v>
      </x:c>
      <x:c r="K5" s="10" t="n">
        <x:f>'Assumptions'!$D$9+K6</x:f>
        <x:v>2033</x:v>
      </x:c>
      <x:c r="L5" s="10" t="n">
        <x:f>'Assumptions'!$D$9+L6</x:f>
        <x:v>2034</x:v>
      </x:c>
      <x:c r="M5" s="10" t="n">
        <x:f>'Assumptions'!$D$9+M6</x:f>
        <x:v>2035</x:v>
      </x:c>
      <x:c r="N5" s="10" t="n">
        <x:f>'Assumptions'!$D$9+N6</x:f>
        <x:v>2036</x:v>
      </x:c>
    </x:row>
    <x:row r="6" ht="22" customHeight="1">
      <x:c r="A6" s="2"/>
      <x:c r="B6" s="2"/>
      <x:c r="C6" s="9" t="str">
        <x:v>Model year</x:v>
      </x:c>
      <x:c r="D6" s="10" t="n">
        <x:f>'Assumptions'!D84</x:f>
        <x:v>0</x:v>
      </x:c>
      <x:c r="E6" s="10" t="n">
        <x:f>'Assumptions'!E84</x:f>
        <x:v>1</x:v>
      </x:c>
      <x:c r="F6" s="10" t="n">
        <x:f>'Assumptions'!F84</x:f>
        <x:v>2</x:v>
      </x:c>
      <x:c r="G6" s="10" t="n">
        <x:f>'Assumptions'!G84</x:f>
        <x:v>3</x:v>
      </x:c>
      <x:c r="H6" s="10" t="n">
        <x:f>'Assumptions'!H84</x:f>
        <x:v>4</x:v>
      </x:c>
      <x:c r="I6" s="10" t="n">
        <x:f>'Assumptions'!I84</x:f>
        <x:v>5</x:v>
      </x:c>
      <x:c r="J6" s="10" t="n">
        <x:f>'Assumptions'!J84</x:f>
        <x:v>6</x:v>
      </x:c>
      <x:c r="K6" s="10" t="n">
        <x:f>'Assumptions'!K84</x:f>
        <x:v>7</x:v>
      </x:c>
      <x:c r="L6" s="10" t="n">
        <x:f>'Assumptions'!L84</x:f>
        <x:v>8</x:v>
      </x:c>
      <x:c r="M6" s="10" t="n">
        <x:f>'Assumptions'!M84</x:f>
        <x:v>9</x:v>
      </x:c>
      <x:c r="N6" s="10" t="n">
        <x:f>'Assumptions'!N84</x:f>
        <x:v>10</x:v>
      </x:c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2"/>
      <x:c r="B8" s="2"/>
      <x:c r="C8" s="9" t="str">
        <x:v>Phase 1</x:v>
      </x:c>
      <x:c r="D8" s="50"/>
      <x:c r="E8" s="50"/>
      <x:c r="F8" s="50"/>
      <x:c r="G8" s="50"/>
      <x:c r="H8" s="50"/>
      <x:c r="I8" s="50"/>
      <x:c r="J8" s="50"/>
      <x:c r="K8" s="50"/>
      <x:c r="L8" s="50"/>
      <x:c r="M8" s="50"/>
      <x:c r="N8" s="50"/>
    </x:row>
    <x:row r="9" ht="22" customHeight="1">
      <x:c r="A9" s="2"/>
      <x:c r="B9" s="2"/>
      <x:c r="C9" s="2" t="str">
        <x:v>Available MW</x:v>
      </x:c>
      <x:c r="D9" s="52" t="n">
        <x:f>IF('Assumptions'!$D$7&lt;&gt;"Valid",NA(),IF(AND(D$6&lt;='Assumptions'!$D$10,D$6&gt;='Assumptions'!$D$13),'Assumptions'!$D$11,0))</x:f>
        <x:v>0</x:v>
      </x:c>
      <x:c r="E9" s="52" t="n">
        <x:f>IF('Assumptions'!$D$7&lt;&gt;"Valid",NA(),IF(AND(E$6&lt;='Assumptions'!$D$10,E$6&gt;='Assumptions'!$D$13),'Assumptions'!$D$11,0))</x:f>
        <x:v>0</x:v>
      </x:c>
      <x:c r="F9" s="52" t="n">
        <x:f>IF('Assumptions'!$D$7&lt;&gt;"Valid",NA(),IF(AND(F$6&lt;='Assumptions'!$D$10,F$6&gt;='Assumptions'!$D$13),'Assumptions'!$D$11,0))</x:f>
        <x:v>5</x:v>
      </x:c>
      <x:c r="G9" s="52" t="n">
        <x:f>IF('Assumptions'!$D$7&lt;&gt;"Valid",NA(),IF(AND(G$6&lt;='Assumptions'!$D$10,G$6&gt;='Assumptions'!$D$13),'Assumptions'!$D$11,0))</x:f>
        <x:v>5</x:v>
      </x:c>
      <x:c r="H9" s="52" t="n">
        <x:f>IF('Assumptions'!$D$7&lt;&gt;"Valid",NA(),IF(AND(H$6&lt;='Assumptions'!$D$10,H$6&gt;='Assumptions'!$D$13),'Assumptions'!$D$11,0))</x:f>
        <x:v>5</x:v>
      </x:c>
      <x:c r="I9" s="52" t="n">
        <x:f>IF('Assumptions'!$D$7&lt;&gt;"Valid",NA(),IF(AND(I$6&lt;='Assumptions'!$D$10,I$6&gt;='Assumptions'!$D$13),'Assumptions'!$D$11,0))</x:f>
        <x:v>5</x:v>
      </x:c>
      <x:c r="J9" s="52" t="n">
        <x:f>IF('Assumptions'!$D$7&lt;&gt;"Valid",NA(),IF(AND(J$6&lt;='Assumptions'!$D$10,J$6&gt;='Assumptions'!$D$13),'Assumptions'!$D$11,0))</x:f>
        <x:v>5</x:v>
      </x:c>
      <x:c r="K9" s="52" t="n">
        <x:f>IF('Assumptions'!$D$7&lt;&gt;"Valid",NA(),IF(AND(K$6&lt;='Assumptions'!$D$10,K$6&gt;='Assumptions'!$D$13),'Assumptions'!$D$11,0))</x:f>
        <x:v>5</x:v>
      </x:c>
      <x:c r="L9" s="52" t="n">
        <x:f>IF('Assumptions'!$D$7&lt;&gt;"Valid",NA(),IF(AND(L$6&lt;='Assumptions'!$D$10,L$6&gt;='Assumptions'!$D$13),'Assumptions'!$D$11,0))</x:f>
        <x:v>5</x:v>
      </x:c>
      <x:c r="M9" s="52" t="n">
        <x:f>IF('Assumptions'!$D$7&lt;&gt;"Valid",NA(),IF(AND(M$6&lt;='Assumptions'!$D$10,M$6&gt;='Assumptions'!$D$13),'Assumptions'!$D$11,0))</x:f>
        <x:v>5</x:v>
      </x:c>
      <x:c r="N9" s="52" t="n">
        <x:f>IF('Assumptions'!$D$7&lt;&gt;"Valid",NA(),IF(AND(N$6&lt;='Assumptions'!$D$10,N$6&gt;='Assumptions'!$D$13),'Assumptions'!$D$11,0))</x:f>
        <x:v>5</x:v>
      </x:c>
    </x:row>
    <x:row r="10" ht="22" customHeight="1">
      <x:c r="A10" s="2"/>
      <x:c r="B10" s="2"/>
      <x:c r="C10" s="2" t="str">
        <x:v>Leased MW</x:v>
      </x:c>
      <x:c r="D10" s="52" t="n">
        <x:f>D9*MIN(1,'Assumptions'!D86*'Assumptions'!$D$58)</x:f>
        <x:v>0</x:v>
      </x:c>
      <x:c r="E10" s="52" t="n">
        <x:f>E9*MIN(1,'Assumptions'!E86*'Assumptions'!$D$58)</x:f>
        <x:v>0</x:v>
      </x:c>
      <x:c r="F10" s="52" t="n">
        <x:f>F9*MIN(1,'Assumptions'!F86*'Assumptions'!$D$58)</x:f>
        <x:v>2</x:v>
      </x:c>
      <x:c r="G10" s="52" t="n">
        <x:f>G9*MIN(1,'Assumptions'!G86*'Assumptions'!$D$58)</x:f>
        <x:v>3.25</x:v>
      </x:c>
      <x:c r="H10" s="52" t="n">
        <x:f>H9*MIN(1,'Assumptions'!H86*'Assumptions'!$D$58)</x:f>
        <x:v>4</x:v>
      </x:c>
      <x:c r="I10" s="52" t="n">
        <x:f>I9*MIN(1,'Assumptions'!I86*'Assumptions'!$D$58)</x:f>
        <x:v>4.5</x:v>
      </x:c>
      <x:c r="J10" s="52" t="n">
        <x:f>J9*MIN(1,'Assumptions'!J86*'Assumptions'!$D$58)</x:f>
        <x:v>4.75</x:v>
      </x:c>
      <x:c r="K10" s="52" t="n">
        <x:f>K9*MIN(1,'Assumptions'!K86*'Assumptions'!$D$58)</x:f>
        <x:v>4.75</x:v>
      </x:c>
      <x:c r="L10" s="52" t="n">
        <x:f>L9*MIN(1,'Assumptions'!L86*'Assumptions'!$D$58)</x:f>
        <x:v>4.75</x:v>
      </x:c>
      <x:c r="M10" s="52" t="n">
        <x:f>M9*MIN(1,'Assumptions'!M86*'Assumptions'!$D$58)</x:f>
        <x:v>4.75</x:v>
      </x:c>
      <x:c r="N10" s="52" t="n">
        <x:f>N9*MIN(1,'Assumptions'!N86*'Assumptions'!$D$58)</x:f>
        <x:v>4.75</x:v>
      </x:c>
    </x:row>
    <x:row r="11" ht="22" customHeight="1">
      <x:c r="A11" s="2"/>
      <x:c r="B11" s="2"/>
      <x:c r="C11" s="2" t="str">
        <x:v>Utilized IT MW</x:v>
      </x:c>
      <x:c r="D11" s="52" t="n">
        <x:f>D10*'Assumptions'!D87</x:f>
        <x:v>0</x:v>
      </x:c>
      <x:c r="E11" s="52" t="n">
        <x:f>E10*'Assumptions'!E87</x:f>
        <x:v>0</x:v>
      </x:c>
      <x:c r="F11" s="52" t="n">
        <x:f>F10*'Assumptions'!F87</x:f>
        <x:v>1.6</x:v>
      </x:c>
      <x:c r="G11" s="52" t="n">
        <x:f>G10*'Assumptions'!G87</x:f>
        <x:v>2.6</x:v>
      </x:c>
      <x:c r="H11" s="52" t="n">
        <x:f>H10*'Assumptions'!H87</x:f>
        <x:v>3.2</x:v>
      </x:c>
      <x:c r="I11" s="52" t="n">
        <x:f>I10*'Assumptions'!I87</x:f>
        <x:v>3.6</x:v>
      </x:c>
      <x:c r="J11" s="52" t="n">
        <x:f>J10*'Assumptions'!J87</x:f>
        <x:v>3.8000000000000003</x:v>
      </x:c>
      <x:c r="K11" s="52" t="n">
        <x:f>K10*'Assumptions'!K87</x:f>
        <x:v>3.8000000000000003</x:v>
      </x:c>
      <x:c r="L11" s="52" t="n">
        <x:f>L10*'Assumptions'!L87</x:f>
        <x:v>3.8000000000000003</x:v>
      </x:c>
      <x:c r="M11" s="52" t="n">
        <x:f>M10*'Assumptions'!M87</x:f>
        <x:v>3.8000000000000003</x:v>
      </x:c>
      <x:c r="N11" s="52" t="n">
        <x:f>N10*'Assumptions'!N87</x:f>
        <x:v>3.8000000000000003</x:v>
      </x:c>
    </x:row>
    <x:row r="12" ht="22" customHeight="1">
      <x:c r="A12" s="2"/>
      <x:c r="B12" s="2"/>
      <x:c r="C12" s="2" t="str">
        <x:v>Effective rent ($/kW/month)</x:v>
      </x:c>
      <x:c r="D12" s="46" t="n">
        <x:f>'Assumptions'!$D$33*(1+'Assumptions'!$D$15)^MAX(0,D$6-1)</x:f>
        <x:v>225</x:v>
      </x:c>
      <x:c r="E12" s="46" t="n">
        <x:f>'Assumptions'!$D$33*(1+'Assumptions'!$D$15)^MAX(0,E$6-1)</x:f>
        <x:v>225</x:v>
      </x:c>
      <x:c r="F12" s="46" t="n">
        <x:f>'Assumptions'!$D$33*(1+'Assumptions'!$D$15)^MAX(0,F$6-1)</x:f>
        <x:v>230.62499999999997</x:v>
      </x:c>
      <x:c r="G12" s="46" t="n">
        <x:f>'Assumptions'!$D$33*(1+'Assumptions'!$D$15)^MAX(0,G$6-1)</x:f>
        <x:v>236.39062499999997</x:v>
      </x:c>
      <x:c r="H12" s="46" t="n">
        <x:f>'Assumptions'!$D$33*(1+'Assumptions'!$D$15)^MAX(0,H$6-1)</x:f>
        <x:v>242.30039062499992</x:v>
      </x:c>
      <x:c r="I12" s="46" t="n">
        <x:f>'Assumptions'!$D$33*(1+'Assumptions'!$D$15)^MAX(0,I$6-1)</x:f>
        <x:v>248.3579003906249</x:v>
      </x:c>
      <x:c r="J12" s="46" t="n">
        <x:f>'Assumptions'!$D$33*(1+'Assumptions'!$D$15)^MAX(0,J$6-1)</x:f>
        <x:v>254.56684790039048</x:v>
      </x:c>
      <x:c r="K12" s="46" t="n">
        <x:f>'Assumptions'!$D$33*(1+'Assumptions'!$D$15)^MAX(0,K$6-1)</x:f>
        <x:v>260.9310190979002</x:v>
      </x:c>
      <x:c r="L12" s="46" t="n">
        <x:f>'Assumptions'!$D$33*(1+'Assumptions'!$D$15)^MAX(0,L$6-1)</x:f>
        <x:v>267.4542945753478</x:v>
      </x:c>
      <x:c r="M12" s="46" t="n">
        <x:f>'Assumptions'!$D$33*(1+'Assumptions'!$D$15)^MAX(0,M$6-1)</x:f>
        <x:v>274.14065193973136</x:v>
      </x:c>
      <x:c r="N12" s="46" t="n">
        <x:f>'Assumptions'!$D$33*(1+'Assumptions'!$D$15)^MAX(0,N$6-1)</x:f>
        <x:v>280.9941682382247</x:v>
      </x:c>
    </x:row>
    <x:row r="13" ht="22" customHeight="1">
      <x:c r="A13" s="2"/>
      <x:c r="B13" s="2"/>
      <x:c r="C13" s="2" t="str">
        <x:v>Revenue</x:v>
      </x:c>
      <x:c r="D13" s="43" t="n">
        <x:f>(D10*D12*12000)+D10*'Assumptions'!$D$29*(1+'Assumptions'!$D$15)^MAX(0,D$6-1)</x:f>
        <x:v>0</x:v>
      </x:c>
      <x:c r="E13" s="43" t="n">
        <x:f>(E10*E12*12000)+E10*'Assumptions'!$D$29*(1+'Assumptions'!$D$15)^MAX(0,E$6-1)</x:f>
        <x:v>0</x:v>
      </x:c>
      <x:c r="F13" s="43" t="n">
        <x:f>(F10*F12*12000)+F10*'Assumptions'!$D$29*(1+'Assumptions'!$D$15)^MAX(0,F$6-1)</x:f>
        <x:v>5534999.999999999</x:v>
      </x:c>
      <x:c r="G13" s="43" t="n">
        <x:f>(G10*G12*12000)+G10*'Assumptions'!$D$29*(1+'Assumptions'!$D$15)^MAX(0,G$6-1)</x:f>
        <x:v>9219234.374999998</x:v>
      </x:c>
      <x:c r="H13" s="43" t="n">
        <x:f>(H10*H12*12000)+H10*'Assumptions'!$D$29*(1+'Assumptions'!$D$15)^MAX(0,H$6-1)</x:f>
        <x:v>11630418.749999996</x:v>
      </x:c>
      <x:c r="I13" s="43" t="n">
        <x:f>(I10*I12*12000)+I10*'Assumptions'!$D$29*(1+'Assumptions'!$D$15)^MAX(0,I$6-1)</x:f>
        <x:v>13411326.621093746</x:v>
      </x:c>
      <x:c r="J13" s="43" t="n">
        <x:f>(J10*J12*12000)+J10*'Assumptions'!$D$29*(1+'Assumptions'!$D$15)^MAX(0,J$6-1)</x:f>
        <x:v>14510310.330322256</x:v>
      </x:c>
      <x:c r="K13" s="43" t="n">
        <x:f>(K10*K12*12000)+K10*'Assumptions'!$D$29*(1+'Assumptions'!$D$15)^MAX(0,K$6-1)</x:f>
        <x:v>14873068.08858031</x:v>
      </x:c>
      <x:c r="L13" s="43" t="n">
        <x:f>(L10*L12*12000)+L10*'Assumptions'!$D$29*(1+'Assumptions'!$D$15)^MAX(0,L$6-1)</x:f>
        <x:v>15244894.790794821</x:v>
      </x:c>
      <x:c r="M13" s="43" t="n">
        <x:f>(M10*M12*12000)+M10*'Assumptions'!$D$29*(1+'Assumptions'!$D$15)^MAX(0,M$6-1)</x:f>
        <x:v>15626017.160564689</x:v>
      </x:c>
      <x:c r="N13" s="43" t="n">
        <x:f>(N10*N12*12000)+N10*'Assumptions'!$D$29*(1+'Assumptions'!$D$15)^MAX(0,N$6-1)</x:f>
        <x:v>16016667.589578807</x:v>
      </x:c>
    </x:row>
    <x:row r="14" ht="22" customHeight="1">
      <x:c r="A14" s="2"/>
      <x:c r="B14" s="2"/>
      <x:c r="C14" s="2" t="str">
        <x:v>IT energy (kWh)</x:v>
      </x:c>
      <x:c r="D14" s="49" t="n">
        <x:f>D11*1000*8760</x:f>
        <x:v>0</x:v>
      </x:c>
      <x:c r="E14" s="49" t="n">
        <x:f>E11*1000*8760</x:f>
        <x:v>0</x:v>
      </x:c>
      <x:c r="F14" s="49" t="n">
        <x:f>F11*1000*8760</x:f>
        <x:v>14016000</x:v>
      </x:c>
      <x:c r="G14" s="49" t="n">
        <x:f>G11*1000*8760</x:f>
        <x:v>22776000</x:v>
      </x:c>
      <x:c r="H14" s="49" t="n">
        <x:f>H11*1000*8760</x:f>
        <x:v>28032000</x:v>
      </x:c>
      <x:c r="I14" s="49" t="n">
        <x:f>I11*1000*8760</x:f>
        <x:v>31536000</x:v>
      </x:c>
      <x:c r="J14" s="49" t="n">
        <x:f>J11*1000*8760</x:f>
        <x:v>33288000.000000004</x:v>
      </x:c>
      <x:c r="K14" s="49" t="n">
        <x:f>K11*1000*8760</x:f>
        <x:v>33288000.000000004</x:v>
      </x:c>
      <x:c r="L14" s="49" t="n">
        <x:f>L11*1000*8760</x:f>
        <x:v>33288000.000000004</x:v>
      </x:c>
      <x:c r="M14" s="49" t="n">
        <x:f>M11*1000*8760</x:f>
        <x:v>33288000.000000004</x:v>
      </x:c>
      <x:c r="N14" s="49" t="n">
        <x:f>N11*1000*8760</x:f>
        <x:v>33288000.000000004</x:v>
      </x:c>
    </x:row>
    <x:row r="15" ht="22" customHeight="1">
      <x:c r="A15" s="2"/>
      <x:c r="B15" s="2"/>
      <x:c r="C15" s="2" t="str">
        <x:v>Facility energy (kWh)</x:v>
      </x:c>
      <x:c r="D15" s="46" t="n">
        <x:f>D14*'Assumptions'!$D$16</x:f>
        <x:v>0</x:v>
      </x:c>
      <x:c r="E15" s="46" t="n">
        <x:f>E14*'Assumptions'!$D$16</x:f>
        <x:v>0</x:v>
      </x:c>
      <x:c r="F15" s="46" t="n">
        <x:f>F14*'Assumptions'!$D$16</x:f>
        <x:v>18921600</x:v>
      </x:c>
      <x:c r="G15" s="46" t="n">
        <x:f>G14*'Assumptions'!$D$16</x:f>
        <x:v>30747600.000000004</x:v>
      </x:c>
      <x:c r="H15" s="46" t="n">
        <x:f>H14*'Assumptions'!$D$16</x:f>
        <x:v>37843200</x:v>
      </x:c>
      <x:c r="I15" s="46" t="n">
        <x:f>I14*'Assumptions'!$D$16</x:f>
        <x:v>42573600</x:v>
      </x:c>
      <x:c r="J15" s="46" t="n">
        <x:f>J14*'Assumptions'!$D$16</x:f>
        <x:v>44938800.00000001</x:v>
      </x:c>
      <x:c r="K15" s="46" t="n">
        <x:f>K14*'Assumptions'!$D$16</x:f>
        <x:v>44938800.00000001</x:v>
      </x:c>
      <x:c r="L15" s="46" t="n">
        <x:f>L14*'Assumptions'!$D$16</x:f>
        <x:v>44938800.00000001</x:v>
      </x:c>
      <x:c r="M15" s="46" t="n">
        <x:f>M14*'Assumptions'!$D$16</x:f>
        <x:v>44938800.00000001</x:v>
      </x:c>
      <x:c r="N15" s="46" t="n">
        <x:f>N14*'Assumptions'!$D$16</x:f>
        <x:v>44938800.00000001</x:v>
      </x:c>
    </x:row>
    <x:row r="16" ht="22" customHeight="1">
      <x:c r="A16" s="2"/>
      <x:c r="B16" s="2"/>
      <x:c r="C16" s="2" t="str">
        <x:v>Power cost</x:v>
      </x:c>
      <x:c r="D16" s="46" t="n">
        <x:f>D15*'Assumptions'!$D$43</x:f>
        <x:v>0</x:v>
      </x:c>
      <x:c r="E16" s="46" t="n">
        <x:f>E15*'Assumptions'!$D$43</x:f>
        <x:v>0</x:v>
      </x:c>
      <x:c r="F16" s="46" t="n">
        <x:f>F15*'Assumptions'!$D$43</x:f>
        <x:v>1419120</x:v>
      </x:c>
      <x:c r="G16" s="46" t="n">
        <x:f>G15*'Assumptions'!$D$43</x:f>
        <x:v>2306070</x:v>
      </x:c>
      <x:c r="H16" s="46" t="n">
        <x:f>H15*'Assumptions'!$D$43</x:f>
        <x:v>2838240</x:v>
      </x:c>
      <x:c r="I16" s="46" t="n">
        <x:f>I15*'Assumptions'!$D$43</x:f>
        <x:v>3193020</x:v>
      </x:c>
      <x:c r="J16" s="46" t="n">
        <x:f>J15*'Assumptions'!$D$43</x:f>
        <x:v>3370410.0000000005</x:v>
      </x:c>
      <x:c r="K16" s="46" t="n">
        <x:f>K15*'Assumptions'!$D$43</x:f>
        <x:v>3370410.0000000005</x:v>
      </x:c>
      <x:c r="L16" s="46" t="n">
        <x:f>L15*'Assumptions'!$D$43</x:f>
        <x:v>3370410.0000000005</x:v>
      </x:c>
      <x:c r="M16" s="46" t="n">
        <x:f>M15*'Assumptions'!$D$43</x:f>
        <x:v>3370410.0000000005</x:v>
      </x:c>
      <x:c r="N16" s="46" t="n">
        <x:f>N15*'Assumptions'!$D$43</x:f>
        <x:v>3370410.0000000005</x:v>
      </x:c>
    </x:row>
    <x:row r="17" ht="22" customHeight="1">
      <x:c r="A17" s="2"/>
      <x:c r="B17" s="2"/>
      <x:c r="C17" s="2" t="str">
        <x:v>Other operating costs</x:v>
      </x:c>
      <x:c r="D17" s="46" t="n">
        <x:f>SUM('Assumptions'!$D$73:$D$81)*D9/SUM('Assumptions'!$D$11:$D$12)</x:f>
        <x:v>0</x:v>
      </x:c>
      <x:c r="E17" s="46" t="n">
        <x:f>SUM('Assumptions'!$D$73:$D$81)*E9/SUM('Assumptions'!$D$11:$D$12)</x:f>
        <x:v>0</x:v>
      </x:c>
      <x:c r="F17" s="46" t="n">
        <x:f>SUM('Assumptions'!$D$73:$D$81)*F9/SUM('Assumptions'!$D$11:$D$12)</x:f>
        <x:v>1300000</x:v>
      </x:c>
      <x:c r="G17" s="46" t="n">
        <x:f>SUM('Assumptions'!$D$73:$D$81)*G9/SUM('Assumptions'!$D$11:$D$12)</x:f>
        <x:v>1300000</x:v>
      </x:c>
      <x:c r="H17" s="46" t="n">
        <x:f>SUM('Assumptions'!$D$73:$D$81)*H9/SUM('Assumptions'!$D$11:$D$12)</x:f>
        <x:v>1300000</x:v>
      </x:c>
      <x:c r="I17" s="46" t="n">
        <x:f>SUM('Assumptions'!$D$73:$D$81)*I9/SUM('Assumptions'!$D$11:$D$12)</x:f>
        <x:v>1300000</x:v>
      </x:c>
      <x:c r="J17" s="46" t="n">
        <x:f>SUM('Assumptions'!$D$73:$D$81)*J9/SUM('Assumptions'!$D$11:$D$12)</x:f>
        <x:v>1300000</x:v>
      </x:c>
      <x:c r="K17" s="46" t="n">
        <x:f>SUM('Assumptions'!$D$73:$D$81)*K9/SUM('Assumptions'!$D$11:$D$12)</x:f>
        <x:v>1300000</x:v>
      </x:c>
      <x:c r="L17" s="46" t="n">
        <x:f>SUM('Assumptions'!$D$73:$D$81)*L9/SUM('Assumptions'!$D$11:$D$12)</x:f>
        <x:v>1300000</x:v>
      </x:c>
      <x:c r="M17" s="46" t="n">
        <x:f>SUM('Assumptions'!$D$73:$D$81)*M9/SUM('Assumptions'!$D$11:$D$12)</x:f>
        <x:v>1300000</x:v>
      </x:c>
      <x:c r="N17" s="46" t="n">
        <x:f>SUM('Assumptions'!$D$73:$D$81)*N9/SUM('Assumptions'!$D$11:$D$12)</x:f>
        <x:v>1300000</x:v>
      </x:c>
    </x:row>
    <x:row r="18" ht="22" customHeight="1">
      <x:c r="A18" s="2"/>
      <x:c r="B18" s="2"/>
      <x:c r="C18" s="2" t="str">
        <x:v>EBITDA</x:v>
      </x:c>
      <x:c r="D18" s="45" t="n">
        <x:f>D13-SUM(D16:D17)</x:f>
        <x:v>0</x:v>
      </x:c>
      <x:c r="E18" s="45" t="n">
        <x:f>E13-SUM(E16:E17)</x:f>
        <x:v>0</x:v>
      </x:c>
      <x:c r="F18" s="45" t="n">
        <x:f>F13-SUM(F16:F17)</x:f>
        <x:v>2815879.999999999</x:v>
      </x:c>
      <x:c r="G18" s="45" t="n">
        <x:f>G13-SUM(G16:G17)</x:f>
        <x:v>5613164.374999998</x:v>
      </x:c>
      <x:c r="H18" s="45" t="n">
        <x:f>H13-SUM(H16:H17)</x:f>
        <x:v>7492178.749999996</x:v>
      </x:c>
      <x:c r="I18" s="45" t="n">
        <x:f>I13-SUM(I16:I17)</x:f>
        <x:v>8918306.621093746</x:v>
      </x:c>
      <x:c r="J18" s="45" t="n">
        <x:f>J13-SUM(J16:J17)</x:f>
        <x:v>9839900.330322256</x:v>
      </x:c>
      <x:c r="K18" s="45" t="n">
        <x:f>K13-SUM(K16:K17)</x:f>
        <x:v>10202658.08858031</x:v>
      </x:c>
      <x:c r="L18" s="45" t="n">
        <x:f>L13-SUM(L16:L17)</x:f>
        <x:v>10574484.790794821</x:v>
      </x:c>
      <x:c r="M18" s="45" t="n">
        <x:f>M13-SUM(M16:M17)</x:f>
        <x:v>10955607.160564689</x:v>
      </x:c>
      <x:c r="N18" s="45" t="n">
        <x:f>N13-SUM(N16:N17)</x:f>
        <x:v>11346257.589578807</x:v>
      </x:c>
    </x:row>
    <x:row r="19" ht="22" customHeight="1">
      <x:c r="A19" s="2"/>
      <x:c r="B19" s="2"/>
      <x:c r="C19" s="2" t="str">
        <x:v>Cash taxes (proxy)</x:v>
      </x:c>
      <x:c r="D19" s="46" t="n">
        <x:f>MAX(0,D18)*'Assumptions'!$D$17</x:f>
        <x:v>0</x:v>
      </x:c>
      <x:c r="E19" s="46" t="n">
        <x:f>MAX(0,E18)*'Assumptions'!$D$17</x:f>
        <x:v>0</x:v>
      </x:c>
      <x:c r="F19" s="46" t="n">
        <x:f>MAX(0,F18)*'Assumptions'!$D$17</x:f>
        <x:v>703969.9999999998</x:v>
      </x:c>
      <x:c r="G19" s="46" t="n">
        <x:f>MAX(0,G18)*'Assumptions'!$D$17</x:f>
        <x:v>1403291.0937499995</x:v>
      </x:c>
      <x:c r="H19" s="46" t="n">
        <x:f>MAX(0,H18)*'Assumptions'!$D$17</x:f>
        <x:v>1873044.687499999</x:v>
      </x:c>
      <x:c r="I19" s="46" t="n">
        <x:f>MAX(0,I18)*'Assumptions'!$D$17</x:f>
        <x:v>2229576.6552734366</x:v>
      </x:c>
      <x:c r="J19" s="46" t="n">
        <x:f>MAX(0,J18)*'Assumptions'!$D$17</x:f>
        <x:v>2459975.082580564</x:v>
      </x:c>
      <x:c r="K19" s="46" t="n">
        <x:f>MAX(0,K18)*'Assumptions'!$D$17</x:f>
        <x:v>2550664.5221450776</x:v>
      </x:c>
      <x:c r="L19" s="46" t="n">
        <x:f>MAX(0,L18)*'Assumptions'!$D$17</x:f>
        <x:v>2643621.1976987054</x:v>
      </x:c>
      <x:c r="M19" s="46" t="n">
        <x:f>MAX(0,M18)*'Assumptions'!$D$17</x:f>
        <x:v>2738901.7901411722</x:v>
      </x:c>
      <x:c r="N19" s="46" t="n">
        <x:f>MAX(0,N18)*'Assumptions'!$D$17</x:f>
        <x:v>2836564.397394702</x:v>
      </x:c>
    </x:row>
    <x:row r="20" ht="22" customHeight="1">
      <x:c r="A20" s="2"/>
      <x:c r="B20" s="2"/>
      <x:c r="C20" s="2" t="str">
        <x:v>Maintenance CapEx</x:v>
      </x:c>
      <x:c r="D20" s="46" t="n">
        <x:f>D9*'Assumptions'!$D$19</x:f>
        <x:v>0</x:v>
      </x:c>
      <x:c r="E20" s="46" t="n">
        <x:f>E9*'Assumptions'!$D$19</x:f>
        <x:v>0</x:v>
      </x:c>
      <x:c r="F20" s="46" t="n">
        <x:f>F9*'Assumptions'!$D$19</x:f>
        <x:v>250000</x:v>
      </x:c>
      <x:c r="G20" s="46" t="n">
        <x:f>G9*'Assumptions'!$D$19</x:f>
        <x:v>250000</x:v>
      </x:c>
      <x:c r="H20" s="46" t="n">
        <x:f>H9*'Assumptions'!$D$19</x:f>
        <x:v>250000</x:v>
      </x:c>
      <x:c r="I20" s="46" t="n">
        <x:f>I9*'Assumptions'!$D$19</x:f>
        <x:v>250000</x:v>
      </x:c>
      <x:c r="J20" s="46" t="n">
        <x:f>J9*'Assumptions'!$D$19</x:f>
        <x:v>250000</x:v>
      </x:c>
      <x:c r="K20" s="46" t="n">
        <x:f>K9*'Assumptions'!$D$19</x:f>
        <x:v>250000</x:v>
      </x:c>
      <x:c r="L20" s="46" t="n">
        <x:f>L9*'Assumptions'!$D$19</x:f>
        <x:v>250000</x:v>
      </x:c>
      <x:c r="M20" s="46" t="n">
        <x:f>M9*'Assumptions'!$D$19</x:f>
        <x:v>250000</x:v>
      </x:c>
      <x:c r="N20" s="46" t="n">
        <x:f>N9*'Assumptions'!$D$19</x:f>
        <x:v>250000</x:v>
      </x:c>
    </x:row>
    <x:row r="21" ht="22" customHeight="1">
      <x:c r="A21" s="2"/>
      <x:c r="B21" s="2"/>
      <x:c r="C21" s="2" t="str">
        <x:v>Working capital balance</x:v>
      </x:c>
      <x:c r="D21" s="46" t="n">
        <x:f>D13*'Assumptions'!$D$18</x:f>
        <x:v>0</x:v>
      </x:c>
      <x:c r="E21" s="46" t="n">
        <x:f>E13*'Assumptions'!$D$18</x:f>
        <x:v>0</x:v>
      </x:c>
      <x:c r="F21" s="46" t="n">
        <x:f>F13*'Assumptions'!$D$18</x:f>
        <x:v>276749.99999999994</x:v>
      </x:c>
      <x:c r="G21" s="46" t="n">
        <x:f>G13*'Assumptions'!$D$18</x:f>
        <x:v>460961.71874999994</x:v>
      </x:c>
      <x:c r="H21" s="46" t="n">
        <x:f>H13*'Assumptions'!$D$18</x:f>
        <x:v>581520.9374999999</x:v>
      </x:c>
      <x:c r="I21" s="46" t="n">
        <x:f>I13*'Assumptions'!$D$18</x:f>
        <x:v>670566.3310546874</x:v>
      </x:c>
      <x:c r="J21" s="46" t="n">
        <x:f>J13*'Assumptions'!$D$18</x:f>
        <x:v>725515.5165161128</x:v>
      </x:c>
      <x:c r="K21" s="46" t="n">
        <x:f>K13*'Assumptions'!$D$18</x:f>
        <x:v>743653.4044290156</x:v>
      </x:c>
      <x:c r="L21" s="46" t="n">
        <x:f>L13*'Assumptions'!$D$18</x:f>
        <x:v>762244.7395397411</x:v>
      </x:c>
      <x:c r="M21" s="46" t="n">
        <x:f>M13*'Assumptions'!$D$18</x:f>
        <x:v>781300.8580282344</x:v>
      </x:c>
      <x:c r="N21" s="46" t="n">
        <x:f>N13*'Assumptions'!$D$18</x:f>
        <x:v>800833.3794789404</x:v>
      </x:c>
    </x:row>
    <x:row r="22" ht="22" customHeight="1">
      <x:c r="A22" s="2"/>
      <x:c r="B22" s="2"/>
      <x:c r="C22" s="2" t="str">
        <x:v>Change in working capital</x:v>
      </x:c>
      <x:c r="D22" s="46" t="n">
        <x:f>IF(D$6&lt;='Assumptions'!$D$10,D21-0,0)</x:f>
        <x:v>0</x:v>
      </x:c>
      <x:c r="E22" s="46" t="n">
        <x:f>IF(E$6&lt;='Assumptions'!$D$10,E21-D21,0)</x:f>
        <x:v>0</x:v>
      </x:c>
      <x:c r="F22" s="46" t="n">
        <x:f>IF(F$6&lt;='Assumptions'!$D$10,F21-E21,0)</x:f>
        <x:v>276749.99999999994</x:v>
      </x:c>
      <x:c r="G22" s="46" t="n">
        <x:f>IF(G$6&lt;='Assumptions'!$D$10,G21-F21,0)</x:f>
        <x:v>184211.71875</x:v>
      </x:c>
      <x:c r="H22" s="46" t="n">
        <x:f>IF(H$6&lt;='Assumptions'!$D$10,H21-G21,0)</x:f>
        <x:v>120559.21874999994</x:v>
      </x:c>
      <x:c r="I22" s="46" t="n">
        <x:f>IF(I$6&lt;='Assumptions'!$D$10,I21-H21,0)</x:f>
        <x:v>89045.3935546875</x:v>
      </x:c>
      <x:c r="J22" s="46" t="n">
        <x:f>IF(J$6&lt;='Assumptions'!$D$10,J21-I21,0)</x:f>
        <x:v>54949.185461425455</x:v>
      </x:c>
      <x:c r="K22" s="46" t="n">
        <x:f>IF(K$6&lt;='Assumptions'!$D$10,K21-J21,0)</x:f>
        <x:v>18137.88791290275</x:v>
      </x:c>
      <x:c r="L22" s="46" t="n">
        <x:f>IF(L$6&lt;='Assumptions'!$D$10,L21-K21,0)</x:f>
        <x:v>18591.335110725486</x:v>
      </x:c>
      <x:c r="M22" s="46" t="n">
        <x:f>IF(M$6&lt;='Assumptions'!$D$10,M21-L21,0)</x:f>
        <x:v>19056.118488493375</x:v>
      </x:c>
      <x:c r="N22" s="46" t="n">
        <x:f>IF(N$6&lt;='Assumptions'!$D$10,N21-M21,0)</x:f>
        <x:v>19532.521450705943</x:v>
      </x:c>
    </x:row>
    <x:row r="23" ht="22" customHeight="1">
      <x:c r="A23" s="2"/>
      <x:c r="B23" s="2"/>
      <x:c r="C23" s="37" t="str">
        <x:v>CFADS</x:v>
      </x:c>
      <x:c r="D23" s="71" t="n">
        <x:f>D18-D19-D20-D22</x:f>
        <x:v>0</x:v>
      </x:c>
      <x:c r="E23" s="71" t="n">
        <x:f>E18-E19-E20-E22</x:f>
        <x:v>0</x:v>
      </x:c>
      <x:c r="F23" s="71" t="n">
        <x:f>F18-F19-F20-F22</x:f>
        <x:v>1585159.999999999</x:v>
      </x:c>
      <x:c r="G23" s="71" t="n">
        <x:f>G18-G19-G20-G22</x:f>
        <x:v>3775661.562499998</x:v>
      </x:c>
      <x:c r="H23" s="71" t="n">
        <x:f>H18-H19-H20-H22</x:f>
        <x:v>5248574.843749997</x:v>
      </x:c>
      <x:c r="I23" s="71" t="n">
        <x:f>I18-I19-I20-I22</x:f>
        <x:v>6349684.572265622</x:v>
      </x:c>
      <x:c r="J23" s="71" t="n">
        <x:f>J18-J19-J20-J22</x:f>
        <x:v>7074976.062280267</x:v>
      </x:c>
      <x:c r="K23" s="71" t="n">
        <x:f>K18-K19-K20-K22</x:f>
        <x:v>7383855.67852233</x:v>
      </x:c>
      <x:c r="L23" s="71" t="n">
        <x:f>L18-L19-L20-L22</x:f>
        <x:v>7662272.257985391</x:v>
      </x:c>
      <x:c r="M23" s="71" t="n">
        <x:f>M18-M19-M20-M22</x:f>
        <x:v>7947649.251935023</x:v>
      </x:c>
      <x:c r="N23" s="71" t="n">
        <x:f>N18-N19-N20-N22</x:f>
        <x:v>8240160.6707334</x:v>
      </x:c>
    </x:row>
    <x:row r="24" ht="22" customHeight="1">
      <x:c r="A24" s="2"/>
      <x:c r="B24" s="2"/>
      <x:c r="C24" s="2"/>
      <x:c r="D24" s="48"/>
      <x:c r="E24" s="48"/>
      <x:c r="F24" s="48"/>
      <x:c r="G24" s="48"/>
      <x:c r="H24" s="48"/>
      <x:c r="I24" s="48"/>
      <x:c r="J24" s="48"/>
      <x:c r="K24" s="48"/>
      <x:c r="L24" s="48"/>
      <x:c r="M24" s="48"/>
      <x:c r="N24" s="48"/>
    </x:row>
    <x:row r="25" ht="24" customHeight="1">
      <x:c r="A25" s="2"/>
      <x:c r="B25" s="2"/>
      <x:c r="C25" s="9" t="str">
        <x:v>Phase 2</x:v>
      </x:c>
      <x:c r="D25" s="50"/>
      <x:c r="E25" s="50"/>
      <x:c r="F25" s="50"/>
      <x:c r="G25" s="50"/>
      <x:c r="H25" s="50"/>
      <x:c r="I25" s="50"/>
      <x:c r="J25" s="50"/>
      <x:c r="K25" s="50"/>
      <x:c r="L25" s="50"/>
      <x:c r="M25" s="50"/>
      <x:c r="N25" s="50"/>
    </x:row>
    <x:row r="26" ht="22" customHeight="1">
      <x:c r="A26" s="2"/>
      <x:c r="B26" s="2"/>
      <x:c r="C26" s="2" t="str">
        <x:v>Available MW</x:v>
      </x:c>
      <x:c r="D26" s="52" t="n">
        <x:f>IF('Assumptions'!$D$7&lt;&gt;"Valid",NA(),IF(AND(D$6&lt;='Assumptions'!$D$10,D$6&gt;='Assumptions'!$D$14),'Assumptions'!$D$12,0))</x:f>
        <x:v>0</x:v>
      </x:c>
      <x:c r="E26" s="52" t="n">
        <x:f>IF('Assumptions'!$D$7&lt;&gt;"Valid",NA(),IF(AND(E$6&lt;='Assumptions'!$D$10,E$6&gt;='Assumptions'!$D$14),'Assumptions'!$D$12,0))</x:f>
        <x:v>0</x:v>
      </x:c>
      <x:c r="F26" s="52" t="n">
        <x:f>IF('Assumptions'!$D$7&lt;&gt;"Valid",NA(),IF(AND(F$6&lt;='Assumptions'!$D$10,F$6&gt;='Assumptions'!$D$14),'Assumptions'!$D$12,0))</x:f>
        <x:v>0</x:v>
      </x:c>
      <x:c r="G26" s="52" t="n">
        <x:f>IF('Assumptions'!$D$7&lt;&gt;"Valid",NA(),IF(AND(G$6&lt;='Assumptions'!$D$10,G$6&gt;='Assumptions'!$D$14),'Assumptions'!$D$12,0))</x:f>
        <x:v>0</x:v>
      </x:c>
      <x:c r="H26" s="52" t="n">
        <x:f>IF('Assumptions'!$D$7&lt;&gt;"Valid",NA(),IF(AND(H$6&lt;='Assumptions'!$D$10,H$6&gt;='Assumptions'!$D$14),'Assumptions'!$D$12,0))</x:f>
        <x:v>5</x:v>
      </x:c>
      <x:c r="I26" s="52" t="n">
        <x:f>IF('Assumptions'!$D$7&lt;&gt;"Valid",NA(),IF(AND(I$6&lt;='Assumptions'!$D$10,I$6&gt;='Assumptions'!$D$14),'Assumptions'!$D$12,0))</x:f>
        <x:v>5</x:v>
      </x:c>
      <x:c r="J26" s="52" t="n">
        <x:f>IF('Assumptions'!$D$7&lt;&gt;"Valid",NA(),IF(AND(J$6&lt;='Assumptions'!$D$10,J$6&gt;='Assumptions'!$D$14),'Assumptions'!$D$12,0))</x:f>
        <x:v>5</x:v>
      </x:c>
      <x:c r="K26" s="52" t="n">
        <x:f>IF('Assumptions'!$D$7&lt;&gt;"Valid",NA(),IF(AND(K$6&lt;='Assumptions'!$D$10,K$6&gt;='Assumptions'!$D$14),'Assumptions'!$D$12,0))</x:f>
        <x:v>5</x:v>
      </x:c>
      <x:c r="L26" s="52" t="n">
        <x:f>IF('Assumptions'!$D$7&lt;&gt;"Valid",NA(),IF(AND(L$6&lt;='Assumptions'!$D$10,L$6&gt;='Assumptions'!$D$14),'Assumptions'!$D$12,0))</x:f>
        <x:v>5</x:v>
      </x:c>
      <x:c r="M26" s="52" t="n">
        <x:f>IF('Assumptions'!$D$7&lt;&gt;"Valid",NA(),IF(AND(M$6&lt;='Assumptions'!$D$10,M$6&gt;='Assumptions'!$D$14),'Assumptions'!$D$12,0))</x:f>
        <x:v>5</x:v>
      </x:c>
      <x:c r="N26" s="52" t="n">
        <x:f>IF('Assumptions'!$D$7&lt;&gt;"Valid",NA(),IF(AND(N$6&lt;='Assumptions'!$D$10,N$6&gt;='Assumptions'!$D$14),'Assumptions'!$D$12,0))</x:f>
        <x:v>5</x:v>
      </x:c>
    </x:row>
    <x:row r="27" ht="22" customHeight="1">
      <x:c r="A27" s="2"/>
      <x:c r="B27" s="2"/>
      <x:c r="C27" s="2" t="str">
        <x:v>Leased MW</x:v>
      </x:c>
      <x:c r="D27" s="52" t="n">
        <x:f>D26*MIN(1,'Assumptions'!D89*'Assumptions'!$D$58)</x:f>
        <x:v>0</x:v>
      </x:c>
      <x:c r="E27" s="52" t="n">
        <x:f>E26*MIN(1,'Assumptions'!E89*'Assumptions'!$D$58)</x:f>
        <x:v>0</x:v>
      </x:c>
      <x:c r="F27" s="52" t="n">
        <x:f>F26*MIN(1,'Assumptions'!F89*'Assumptions'!$D$58)</x:f>
        <x:v>0</x:v>
      </x:c>
      <x:c r="G27" s="52" t="n">
        <x:f>G26*MIN(1,'Assumptions'!G89*'Assumptions'!$D$58)</x:f>
        <x:v>0</x:v>
      </x:c>
      <x:c r="H27" s="52" t="n">
        <x:f>H26*MIN(1,'Assumptions'!H89*'Assumptions'!$D$58)</x:f>
        <x:v>2</x:v>
      </x:c>
      <x:c r="I27" s="52" t="n">
        <x:f>I26*MIN(1,'Assumptions'!I89*'Assumptions'!$D$58)</x:f>
        <x:v>3.25</x:v>
      </x:c>
      <x:c r="J27" s="52" t="n">
        <x:f>J26*MIN(1,'Assumptions'!J89*'Assumptions'!$D$58)</x:f>
        <x:v>4</x:v>
      </x:c>
      <x:c r="K27" s="52" t="n">
        <x:f>K26*MIN(1,'Assumptions'!K89*'Assumptions'!$D$58)</x:f>
        <x:v>4.5</x:v>
      </x:c>
      <x:c r="L27" s="52" t="n">
        <x:f>L26*MIN(1,'Assumptions'!L89*'Assumptions'!$D$58)</x:f>
        <x:v>4.75</x:v>
      </x:c>
      <x:c r="M27" s="52" t="n">
        <x:f>M26*MIN(1,'Assumptions'!M89*'Assumptions'!$D$58)</x:f>
        <x:v>4.75</x:v>
      </x:c>
      <x:c r="N27" s="52" t="n">
        <x:f>N26*MIN(1,'Assumptions'!N89*'Assumptions'!$D$58)</x:f>
        <x:v>4.75</x:v>
      </x:c>
    </x:row>
    <x:row r="28" ht="22" customHeight="1">
      <x:c r="A28" s="2"/>
      <x:c r="B28" s="2"/>
      <x:c r="C28" s="2" t="str">
        <x:v>Utilized IT MW</x:v>
      </x:c>
      <x:c r="D28" s="52" t="n">
        <x:f>D27*'Assumptions'!D90</x:f>
        <x:v>0</x:v>
      </x:c>
      <x:c r="E28" s="52" t="n">
        <x:f>E27*'Assumptions'!E90</x:f>
        <x:v>0</x:v>
      </x:c>
      <x:c r="F28" s="52" t="n">
        <x:f>F27*'Assumptions'!F90</x:f>
        <x:v>0</x:v>
      </x:c>
      <x:c r="G28" s="52" t="n">
        <x:f>G27*'Assumptions'!G90</x:f>
        <x:v>0</x:v>
      </x:c>
      <x:c r="H28" s="52" t="n">
        <x:f>H27*'Assumptions'!H90</x:f>
        <x:v>1.6</x:v>
      </x:c>
      <x:c r="I28" s="52" t="n">
        <x:f>I27*'Assumptions'!I90</x:f>
        <x:v>2.6</x:v>
      </x:c>
      <x:c r="J28" s="52" t="n">
        <x:f>J27*'Assumptions'!J90</x:f>
        <x:v>3.2</x:v>
      </x:c>
      <x:c r="K28" s="52" t="n">
        <x:f>K27*'Assumptions'!K90</x:f>
        <x:v>3.6</x:v>
      </x:c>
      <x:c r="L28" s="52" t="n">
        <x:f>L27*'Assumptions'!L90</x:f>
        <x:v>3.8000000000000003</x:v>
      </x:c>
      <x:c r="M28" s="52" t="n">
        <x:f>M27*'Assumptions'!M90</x:f>
        <x:v>3.8000000000000003</x:v>
      </x:c>
      <x:c r="N28" s="52" t="n">
        <x:f>N27*'Assumptions'!N90</x:f>
        <x:v>3.8000000000000003</x:v>
      </x:c>
    </x:row>
    <x:row r="29" ht="22" customHeight="1">
      <x:c r="A29" s="2"/>
      <x:c r="B29" s="2"/>
      <x:c r="C29" s="2" t="str">
        <x:v>Effective rent ($/kW/month)</x:v>
      </x:c>
      <x:c r="D29" s="46" t="n">
        <x:f>'Assumptions'!$D$33*(1+'Assumptions'!$D$15)^MAX(0,D$6-1)</x:f>
        <x:v>225</x:v>
      </x:c>
      <x:c r="E29" s="46" t="n">
        <x:f>'Assumptions'!$D$33*(1+'Assumptions'!$D$15)^MAX(0,E$6-1)</x:f>
        <x:v>225</x:v>
      </x:c>
      <x:c r="F29" s="46" t="n">
        <x:f>'Assumptions'!$D$33*(1+'Assumptions'!$D$15)^MAX(0,F$6-1)</x:f>
        <x:v>230.62499999999997</x:v>
      </x:c>
      <x:c r="G29" s="46" t="n">
        <x:f>'Assumptions'!$D$33*(1+'Assumptions'!$D$15)^MAX(0,G$6-1)</x:f>
        <x:v>236.39062499999997</x:v>
      </x:c>
      <x:c r="H29" s="46" t="n">
        <x:f>'Assumptions'!$D$33*(1+'Assumptions'!$D$15)^MAX(0,H$6-1)</x:f>
        <x:v>242.30039062499992</x:v>
      </x:c>
      <x:c r="I29" s="46" t="n">
        <x:f>'Assumptions'!$D$33*(1+'Assumptions'!$D$15)^MAX(0,I$6-1)</x:f>
        <x:v>248.3579003906249</x:v>
      </x:c>
      <x:c r="J29" s="46" t="n">
        <x:f>'Assumptions'!$D$33*(1+'Assumptions'!$D$15)^MAX(0,J$6-1)</x:f>
        <x:v>254.56684790039048</x:v>
      </x:c>
      <x:c r="K29" s="46" t="n">
        <x:f>'Assumptions'!$D$33*(1+'Assumptions'!$D$15)^MAX(0,K$6-1)</x:f>
        <x:v>260.9310190979002</x:v>
      </x:c>
      <x:c r="L29" s="46" t="n">
        <x:f>'Assumptions'!$D$33*(1+'Assumptions'!$D$15)^MAX(0,L$6-1)</x:f>
        <x:v>267.4542945753478</x:v>
      </x:c>
      <x:c r="M29" s="46" t="n">
        <x:f>'Assumptions'!$D$33*(1+'Assumptions'!$D$15)^MAX(0,M$6-1)</x:f>
        <x:v>274.14065193973136</x:v>
      </x:c>
      <x:c r="N29" s="46" t="n">
        <x:f>'Assumptions'!$D$33*(1+'Assumptions'!$D$15)^MAX(0,N$6-1)</x:f>
        <x:v>280.9941682382247</x:v>
      </x:c>
    </x:row>
    <x:row r="30" ht="22" customHeight="1">
      <x:c r="A30" s="2"/>
      <x:c r="B30" s="2"/>
      <x:c r="C30" s="2" t="str">
        <x:v>Revenue</x:v>
      </x:c>
      <x:c r="D30" s="43" t="n">
        <x:f>(D27*D29*12000)+D27*'Assumptions'!$D$29*(1+'Assumptions'!$D$15)^MAX(0,D$6-1)</x:f>
        <x:v>0</x:v>
      </x:c>
      <x:c r="E30" s="43" t="n">
        <x:f>(E27*E29*12000)+E27*'Assumptions'!$D$29*(1+'Assumptions'!$D$15)^MAX(0,E$6-1)</x:f>
        <x:v>0</x:v>
      </x:c>
      <x:c r="F30" s="43" t="n">
        <x:f>(F27*F29*12000)+F27*'Assumptions'!$D$29*(1+'Assumptions'!$D$15)^MAX(0,F$6-1)</x:f>
        <x:v>0</x:v>
      </x:c>
      <x:c r="G30" s="43" t="n">
        <x:f>(G27*G29*12000)+G27*'Assumptions'!$D$29*(1+'Assumptions'!$D$15)^MAX(0,G$6-1)</x:f>
        <x:v>0</x:v>
      </x:c>
      <x:c r="H30" s="43" t="n">
        <x:f>(H27*H29*12000)+H27*'Assumptions'!$D$29*(1+'Assumptions'!$D$15)^MAX(0,H$6-1)</x:f>
        <x:v>5815209.374999998</x:v>
      </x:c>
      <x:c r="I30" s="43" t="n">
        <x:f>(I27*I29*12000)+I27*'Assumptions'!$D$29*(1+'Assumptions'!$D$15)^MAX(0,I$6-1)</x:f>
        <x:v>9685958.115234371</x:v>
      </x:c>
      <x:c r="J30" s="43" t="n">
        <x:f>(J27*J29*12000)+J27*'Assumptions'!$D$29*(1+'Assumptions'!$D$15)^MAX(0,J$6-1)</x:f>
        <x:v>12219208.699218743</x:v>
      </x:c>
      <x:c r="K30" s="43" t="n">
        <x:f>(K27*K29*12000)+K27*'Assumptions'!$D$29*(1+'Assumptions'!$D$15)^MAX(0,K$6-1)</x:f>
        <x:v>14090275.031286612</x:v>
      </x:c>
      <x:c r="L30" s="43" t="n">
        <x:f>(L27*L29*12000)+L27*'Assumptions'!$D$29*(1+'Assumptions'!$D$15)^MAX(0,L$6-1)</x:f>
        <x:v>15244894.790794821</x:v>
      </x:c>
      <x:c r="M30" s="43" t="n">
        <x:f>(M27*M29*12000)+M27*'Assumptions'!$D$29*(1+'Assumptions'!$D$15)^MAX(0,M$6-1)</x:f>
        <x:v>15626017.160564689</x:v>
      </x:c>
      <x:c r="N30" s="43" t="n">
        <x:f>(N27*N29*12000)+N27*'Assumptions'!$D$29*(1+'Assumptions'!$D$15)^MAX(0,N$6-1)</x:f>
        <x:v>16016667.589578807</x:v>
      </x:c>
    </x:row>
    <x:row r="31" ht="22" customHeight="1">
      <x:c r="A31" s="2"/>
      <x:c r="B31" s="2"/>
      <x:c r="C31" s="2" t="str">
        <x:v>IT energy (kWh)</x:v>
      </x:c>
      <x:c r="D31" s="49" t="n">
        <x:f>D28*1000*8760</x:f>
        <x:v>0</x:v>
      </x:c>
      <x:c r="E31" s="49" t="n">
        <x:f>E28*1000*8760</x:f>
        <x:v>0</x:v>
      </x:c>
      <x:c r="F31" s="49" t="n">
        <x:f>F28*1000*8760</x:f>
        <x:v>0</x:v>
      </x:c>
      <x:c r="G31" s="49" t="n">
        <x:f>G28*1000*8760</x:f>
        <x:v>0</x:v>
      </x:c>
      <x:c r="H31" s="49" t="n">
        <x:f>H28*1000*8760</x:f>
        <x:v>14016000</x:v>
      </x:c>
      <x:c r="I31" s="49" t="n">
        <x:f>I28*1000*8760</x:f>
        <x:v>22776000</x:v>
      </x:c>
      <x:c r="J31" s="49" t="n">
        <x:f>J28*1000*8760</x:f>
        <x:v>28032000</x:v>
      </x:c>
      <x:c r="K31" s="49" t="n">
        <x:f>K28*1000*8760</x:f>
        <x:v>31536000</x:v>
      </x:c>
      <x:c r="L31" s="49" t="n">
        <x:f>L28*1000*8760</x:f>
        <x:v>33288000.000000004</x:v>
      </x:c>
      <x:c r="M31" s="49" t="n">
        <x:f>M28*1000*8760</x:f>
        <x:v>33288000.000000004</x:v>
      </x:c>
      <x:c r="N31" s="49" t="n">
        <x:f>N28*1000*8760</x:f>
        <x:v>33288000.000000004</x:v>
      </x:c>
    </x:row>
    <x:row r="32" ht="22" customHeight="1">
      <x:c r="A32" s="2"/>
      <x:c r="B32" s="2"/>
      <x:c r="C32" s="2" t="str">
        <x:v>Facility energy (kWh)</x:v>
      </x:c>
      <x:c r="D32" s="46" t="n">
        <x:f>D31*'Assumptions'!$D$16</x:f>
        <x:v>0</x:v>
      </x:c>
      <x:c r="E32" s="46" t="n">
        <x:f>E31*'Assumptions'!$D$16</x:f>
        <x:v>0</x:v>
      </x:c>
      <x:c r="F32" s="46" t="n">
        <x:f>F31*'Assumptions'!$D$16</x:f>
        <x:v>0</x:v>
      </x:c>
      <x:c r="G32" s="46" t="n">
        <x:f>G31*'Assumptions'!$D$16</x:f>
        <x:v>0</x:v>
      </x:c>
      <x:c r="H32" s="46" t="n">
        <x:f>H31*'Assumptions'!$D$16</x:f>
        <x:v>18921600</x:v>
      </x:c>
      <x:c r="I32" s="46" t="n">
        <x:f>I31*'Assumptions'!$D$16</x:f>
        <x:v>30747600.000000004</x:v>
      </x:c>
      <x:c r="J32" s="46" t="n">
        <x:f>J31*'Assumptions'!$D$16</x:f>
        <x:v>37843200</x:v>
      </x:c>
      <x:c r="K32" s="46" t="n">
        <x:f>K31*'Assumptions'!$D$16</x:f>
        <x:v>42573600</x:v>
      </x:c>
      <x:c r="L32" s="46" t="n">
        <x:f>L31*'Assumptions'!$D$16</x:f>
        <x:v>44938800.00000001</x:v>
      </x:c>
      <x:c r="M32" s="46" t="n">
        <x:f>M31*'Assumptions'!$D$16</x:f>
        <x:v>44938800.00000001</x:v>
      </x:c>
      <x:c r="N32" s="46" t="n">
        <x:f>N31*'Assumptions'!$D$16</x:f>
        <x:v>44938800.00000001</x:v>
      </x:c>
    </x:row>
    <x:row r="33" ht="22" customHeight="1">
      <x:c r="A33" s="2"/>
      <x:c r="B33" s="2"/>
      <x:c r="C33" s="2" t="str">
        <x:v>Power cost</x:v>
      </x:c>
      <x:c r="D33" s="46" t="n">
        <x:f>D32*'Assumptions'!$D$43</x:f>
        <x:v>0</x:v>
      </x:c>
      <x:c r="E33" s="46" t="n">
        <x:f>E32*'Assumptions'!$D$43</x:f>
        <x:v>0</x:v>
      </x:c>
      <x:c r="F33" s="46" t="n">
        <x:f>F32*'Assumptions'!$D$43</x:f>
        <x:v>0</x:v>
      </x:c>
      <x:c r="G33" s="46" t="n">
        <x:f>G32*'Assumptions'!$D$43</x:f>
        <x:v>0</x:v>
      </x:c>
      <x:c r="H33" s="46" t="n">
        <x:f>H32*'Assumptions'!$D$43</x:f>
        <x:v>1419120</x:v>
      </x:c>
      <x:c r="I33" s="46" t="n">
        <x:f>I32*'Assumptions'!$D$43</x:f>
        <x:v>2306070</x:v>
      </x:c>
      <x:c r="J33" s="46" t="n">
        <x:f>J32*'Assumptions'!$D$43</x:f>
        <x:v>2838240</x:v>
      </x:c>
      <x:c r="K33" s="46" t="n">
        <x:f>K32*'Assumptions'!$D$43</x:f>
        <x:v>3193020</x:v>
      </x:c>
      <x:c r="L33" s="46" t="n">
        <x:f>L32*'Assumptions'!$D$43</x:f>
        <x:v>3370410.0000000005</x:v>
      </x:c>
      <x:c r="M33" s="46" t="n">
        <x:f>M32*'Assumptions'!$D$43</x:f>
        <x:v>3370410.0000000005</x:v>
      </x:c>
      <x:c r="N33" s="46" t="n">
        <x:f>N32*'Assumptions'!$D$43</x:f>
        <x:v>3370410.0000000005</x:v>
      </x:c>
    </x:row>
    <x:row r="34" ht="22" customHeight="1">
      <x:c r="A34" s="2"/>
      <x:c r="B34" s="2"/>
      <x:c r="C34" s="2" t="str">
        <x:v>Other operating costs</x:v>
      </x:c>
      <x:c r="D34" s="46" t="n">
        <x:f>SUM('Assumptions'!$D$73:$D$81)*D26/SUM('Assumptions'!$D$11:$D$12)</x:f>
        <x:v>0</x:v>
      </x:c>
      <x:c r="E34" s="46" t="n">
        <x:f>SUM('Assumptions'!$D$73:$D$81)*E26/SUM('Assumptions'!$D$11:$D$12)</x:f>
        <x:v>0</x:v>
      </x:c>
      <x:c r="F34" s="46" t="n">
        <x:f>SUM('Assumptions'!$D$73:$D$81)*F26/SUM('Assumptions'!$D$11:$D$12)</x:f>
        <x:v>0</x:v>
      </x:c>
      <x:c r="G34" s="46" t="n">
        <x:f>SUM('Assumptions'!$D$73:$D$81)*G26/SUM('Assumptions'!$D$11:$D$12)</x:f>
        <x:v>0</x:v>
      </x:c>
      <x:c r="H34" s="46" t="n">
        <x:f>SUM('Assumptions'!$D$73:$D$81)*H26/SUM('Assumptions'!$D$11:$D$12)</x:f>
        <x:v>1300000</x:v>
      </x:c>
      <x:c r="I34" s="46" t="n">
        <x:f>SUM('Assumptions'!$D$73:$D$81)*I26/SUM('Assumptions'!$D$11:$D$12)</x:f>
        <x:v>1300000</x:v>
      </x:c>
      <x:c r="J34" s="46" t="n">
        <x:f>SUM('Assumptions'!$D$73:$D$81)*J26/SUM('Assumptions'!$D$11:$D$12)</x:f>
        <x:v>1300000</x:v>
      </x:c>
      <x:c r="K34" s="46" t="n">
        <x:f>SUM('Assumptions'!$D$73:$D$81)*K26/SUM('Assumptions'!$D$11:$D$12)</x:f>
        <x:v>1300000</x:v>
      </x:c>
      <x:c r="L34" s="46" t="n">
        <x:f>SUM('Assumptions'!$D$73:$D$81)*L26/SUM('Assumptions'!$D$11:$D$12)</x:f>
        <x:v>1300000</x:v>
      </x:c>
      <x:c r="M34" s="46" t="n">
        <x:f>SUM('Assumptions'!$D$73:$D$81)*M26/SUM('Assumptions'!$D$11:$D$12)</x:f>
        <x:v>1300000</x:v>
      </x:c>
      <x:c r="N34" s="46" t="n">
        <x:f>SUM('Assumptions'!$D$73:$D$81)*N26/SUM('Assumptions'!$D$11:$D$12)</x:f>
        <x:v>1300000</x:v>
      </x:c>
    </x:row>
    <x:row r="35" ht="22" customHeight="1">
      <x:c r="A35" s="2"/>
      <x:c r="B35" s="2"/>
      <x:c r="C35" s="2" t="str">
        <x:v>EBITDA</x:v>
      </x:c>
      <x:c r="D35" s="45" t="n">
        <x:f>D30-SUM(D33:D34)</x:f>
        <x:v>0</x:v>
      </x:c>
      <x:c r="E35" s="45" t="n">
        <x:f>E30-SUM(E33:E34)</x:f>
        <x:v>0</x:v>
      </x:c>
      <x:c r="F35" s="45" t="n">
        <x:f>F30-SUM(F33:F34)</x:f>
        <x:v>0</x:v>
      </x:c>
      <x:c r="G35" s="45" t="n">
        <x:f>G30-SUM(G33:G34)</x:f>
        <x:v>0</x:v>
      </x:c>
      <x:c r="H35" s="45" t="n">
        <x:f>H30-SUM(H33:H34)</x:f>
        <x:v>3096089.374999998</x:v>
      </x:c>
      <x:c r="I35" s="45" t="n">
        <x:f>I30-SUM(I33:I34)</x:f>
        <x:v>6079888.115234371</x:v>
      </x:c>
      <x:c r="J35" s="45" t="n">
        <x:f>J30-SUM(J33:J34)</x:f>
        <x:v>8080968.699218743</x:v>
      </x:c>
      <x:c r="K35" s="45" t="n">
        <x:f>K30-SUM(K33:K34)</x:f>
        <x:v>9597255.031286612</x:v>
      </x:c>
      <x:c r="L35" s="45" t="n">
        <x:f>L30-SUM(L33:L34)</x:f>
        <x:v>10574484.790794821</x:v>
      </x:c>
      <x:c r="M35" s="45" t="n">
        <x:f>M30-SUM(M33:M34)</x:f>
        <x:v>10955607.160564689</x:v>
      </x:c>
      <x:c r="N35" s="45" t="n">
        <x:f>N30-SUM(N33:N34)</x:f>
        <x:v>11346257.589578807</x:v>
      </x:c>
    </x:row>
    <x:row r="36" ht="22" customHeight="1">
      <x:c r="A36" s="2"/>
      <x:c r="B36" s="2"/>
      <x:c r="C36" s="2" t="str">
        <x:v>Cash taxes (proxy)</x:v>
      </x:c>
      <x:c r="D36" s="46" t="n">
        <x:f>MAX(0,D35)*'Assumptions'!$D$17</x:f>
        <x:v>0</x:v>
      </x:c>
      <x:c r="E36" s="46" t="n">
        <x:f>MAX(0,E35)*'Assumptions'!$D$17</x:f>
        <x:v>0</x:v>
      </x:c>
      <x:c r="F36" s="46" t="n">
        <x:f>MAX(0,F35)*'Assumptions'!$D$17</x:f>
        <x:v>0</x:v>
      </x:c>
      <x:c r="G36" s="46" t="n">
        <x:f>MAX(0,G35)*'Assumptions'!$D$17</x:f>
        <x:v>0</x:v>
      </x:c>
      <x:c r="H36" s="46" t="n">
        <x:f>MAX(0,H35)*'Assumptions'!$D$17</x:f>
        <x:v>774022.3437499995</x:v>
      </x:c>
      <x:c r="I36" s="46" t="n">
        <x:f>MAX(0,I35)*'Assumptions'!$D$17</x:f>
        <x:v>1519972.0288085928</x:v>
      </x:c>
      <x:c r="J36" s="46" t="n">
        <x:f>MAX(0,J35)*'Assumptions'!$D$17</x:f>
        <x:v>2020242.1748046856</x:v>
      </x:c>
      <x:c r="K36" s="46" t="n">
        <x:f>MAX(0,K35)*'Assumptions'!$D$17</x:f>
        <x:v>2399313.757821653</x:v>
      </x:c>
      <x:c r="L36" s="46" t="n">
        <x:f>MAX(0,L35)*'Assumptions'!$D$17</x:f>
        <x:v>2643621.1976987054</x:v>
      </x:c>
      <x:c r="M36" s="46" t="n">
        <x:f>MAX(0,M35)*'Assumptions'!$D$17</x:f>
        <x:v>2738901.7901411722</x:v>
      </x:c>
      <x:c r="N36" s="46" t="n">
        <x:f>MAX(0,N35)*'Assumptions'!$D$17</x:f>
        <x:v>2836564.397394702</x:v>
      </x:c>
    </x:row>
    <x:row r="37" ht="22" customHeight="1">
      <x:c r="A37" s="2"/>
      <x:c r="B37" s="2"/>
      <x:c r="C37" s="2" t="str">
        <x:v>Maintenance CapEx</x:v>
      </x:c>
      <x:c r="D37" s="46" t="n">
        <x:f>D26*'Assumptions'!$D$19</x:f>
        <x:v>0</x:v>
      </x:c>
      <x:c r="E37" s="46" t="n">
        <x:f>E26*'Assumptions'!$D$19</x:f>
        <x:v>0</x:v>
      </x:c>
      <x:c r="F37" s="46" t="n">
        <x:f>F26*'Assumptions'!$D$19</x:f>
        <x:v>0</x:v>
      </x:c>
      <x:c r="G37" s="46" t="n">
        <x:f>G26*'Assumptions'!$D$19</x:f>
        <x:v>0</x:v>
      </x:c>
      <x:c r="H37" s="46" t="n">
        <x:f>H26*'Assumptions'!$D$19</x:f>
        <x:v>250000</x:v>
      </x:c>
      <x:c r="I37" s="46" t="n">
        <x:f>I26*'Assumptions'!$D$19</x:f>
        <x:v>250000</x:v>
      </x:c>
      <x:c r="J37" s="46" t="n">
        <x:f>J26*'Assumptions'!$D$19</x:f>
        <x:v>250000</x:v>
      </x:c>
      <x:c r="K37" s="46" t="n">
        <x:f>K26*'Assumptions'!$D$19</x:f>
        <x:v>250000</x:v>
      </x:c>
      <x:c r="L37" s="46" t="n">
        <x:f>L26*'Assumptions'!$D$19</x:f>
        <x:v>250000</x:v>
      </x:c>
      <x:c r="M37" s="46" t="n">
        <x:f>M26*'Assumptions'!$D$19</x:f>
        <x:v>250000</x:v>
      </x:c>
      <x:c r="N37" s="46" t="n">
        <x:f>N26*'Assumptions'!$D$19</x:f>
        <x:v>250000</x:v>
      </x:c>
    </x:row>
    <x:row r="38" ht="22" customHeight="1">
      <x:c r="A38" s="2"/>
      <x:c r="B38" s="2"/>
      <x:c r="C38" s="2" t="str">
        <x:v>Working capital balance</x:v>
      </x:c>
      <x:c r="D38" s="46" t="n">
        <x:f>D30*'Assumptions'!$D$18</x:f>
        <x:v>0</x:v>
      </x:c>
      <x:c r="E38" s="46" t="n">
        <x:f>E30*'Assumptions'!$D$18</x:f>
        <x:v>0</x:v>
      </x:c>
      <x:c r="F38" s="46" t="n">
        <x:f>F30*'Assumptions'!$D$18</x:f>
        <x:v>0</x:v>
      </x:c>
      <x:c r="G38" s="46" t="n">
        <x:f>G30*'Assumptions'!$D$18</x:f>
        <x:v>0</x:v>
      </x:c>
      <x:c r="H38" s="46" t="n">
        <x:f>H30*'Assumptions'!$D$18</x:f>
        <x:v>290760.46874999994</x:v>
      </x:c>
      <x:c r="I38" s="46" t="n">
        <x:f>I30*'Assumptions'!$D$18</x:f>
        <x:v>484297.9057617186</x:v>
      </x:c>
      <x:c r="J38" s="46" t="n">
        <x:f>J30*'Assumptions'!$D$18</x:f>
        <x:v>610960.4349609371</x:v>
      </x:c>
      <x:c r="K38" s="46" t="n">
        <x:f>K30*'Assumptions'!$D$18</x:f>
        <x:v>704513.7515643307</x:v>
      </x:c>
      <x:c r="L38" s="46" t="n">
        <x:f>L30*'Assumptions'!$D$18</x:f>
        <x:v>762244.7395397411</x:v>
      </x:c>
      <x:c r="M38" s="46" t="n">
        <x:f>M30*'Assumptions'!$D$18</x:f>
        <x:v>781300.8580282344</x:v>
      </x:c>
      <x:c r="N38" s="46" t="n">
        <x:f>N30*'Assumptions'!$D$18</x:f>
        <x:v>800833.3794789404</x:v>
      </x:c>
    </x:row>
    <x:row r="39" ht="22" customHeight="1">
      <x:c r="A39" s="2"/>
      <x:c r="B39" s="2"/>
      <x:c r="C39" s="2" t="str">
        <x:v>Change in working capital</x:v>
      </x:c>
      <x:c r="D39" s="46" t="n">
        <x:f>IF(D$6&lt;='Assumptions'!$D$10,D38-0,0)</x:f>
        <x:v>0</x:v>
      </x:c>
      <x:c r="E39" s="46" t="n">
        <x:f>IF(E$6&lt;='Assumptions'!$D$10,E38-D38,0)</x:f>
        <x:v>0</x:v>
      </x:c>
      <x:c r="F39" s="46" t="n">
        <x:f>IF(F$6&lt;='Assumptions'!$D$10,F38-E38,0)</x:f>
        <x:v>0</x:v>
      </x:c>
      <x:c r="G39" s="46" t="n">
        <x:f>IF(G$6&lt;='Assumptions'!$D$10,G38-F38,0)</x:f>
        <x:v>0</x:v>
      </x:c>
      <x:c r="H39" s="46" t="n">
        <x:f>IF(H$6&lt;='Assumptions'!$D$10,H38-G38,0)</x:f>
        <x:v>290760.46874999994</x:v>
      </x:c>
      <x:c r="I39" s="46" t="n">
        <x:f>IF(I$6&lt;='Assumptions'!$D$10,I38-H38,0)</x:f>
        <x:v>193537.43701171863</x:v>
      </x:c>
      <x:c r="J39" s="46" t="n">
        <x:f>IF(J$6&lt;='Assumptions'!$D$10,J38-I38,0)</x:f>
        <x:v>126662.52919921855</x:v>
      </x:c>
      <x:c r="K39" s="46" t="n">
        <x:f>IF(K$6&lt;='Assumptions'!$D$10,K38-J38,0)</x:f>
        <x:v>93553.31660339353</x:v>
      </x:c>
      <x:c r="L39" s="46" t="n">
        <x:f>IF(L$6&lt;='Assumptions'!$D$10,L38-K38,0)</x:f>
        <x:v>57730.98797541042</x:v>
      </x:c>
      <x:c r="M39" s="46" t="n">
        <x:f>IF(M$6&lt;='Assumptions'!$D$10,M38-L38,0)</x:f>
        <x:v>19056.118488493375</x:v>
      </x:c>
      <x:c r="N39" s="46" t="n">
        <x:f>IF(N$6&lt;='Assumptions'!$D$10,N38-M38,0)</x:f>
        <x:v>19532.521450705943</x:v>
      </x:c>
    </x:row>
    <x:row r="40" ht="22" customHeight="1">
      <x:c r="A40" s="2"/>
      <x:c r="B40" s="2"/>
      <x:c r="C40" s="37" t="str">
        <x:v>CFADS</x:v>
      </x:c>
      <x:c r="D40" s="71" t="n">
        <x:f>D35-D36-D37-D39</x:f>
        <x:v>0</x:v>
      </x:c>
      <x:c r="E40" s="71" t="n">
        <x:f>E35-E36-E37-E39</x:f>
        <x:v>0</x:v>
      </x:c>
      <x:c r="F40" s="71" t="n">
        <x:f>F35-F36-F37-F39</x:f>
        <x:v>0</x:v>
      </x:c>
      <x:c r="G40" s="71" t="n">
        <x:f>G35-G36-G37-G39</x:f>
        <x:v>0</x:v>
      </x:c>
      <x:c r="H40" s="71" t="n">
        <x:f>H35-H36-H37-H39</x:f>
        <x:v>1781306.5624999986</x:v>
      </x:c>
      <x:c r="I40" s="71" t="n">
        <x:f>I35-I36-I37-I39</x:f>
        <x:v>4116378.6494140597</x:v>
      </x:c>
      <x:c r="J40" s="71" t="n">
        <x:f>J35-J36-J37-J39</x:f>
        <x:v>5684063.995214839</x:v>
      </x:c>
      <x:c r="K40" s="71" t="n">
        <x:f>K35-K36-K37-K39</x:f>
        <x:v>6854387.956861566</x:v>
      </x:c>
      <x:c r="L40" s="71" t="n">
        <x:f>L35-L36-L37-L39</x:f>
        <x:v>7623132.605120706</x:v>
      </x:c>
      <x:c r="M40" s="71" t="n">
        <x:f>M35-M36-M37-M39</x:f>
        <x:v>7947649.251935023</x:v>
      </x:c>
      <x:c r="N40" s="71" t="n">
        <x:f>N35-N36-N37-N39</x:f>
        <x:v>8240160.6707334</x:v>
      </x:c>
    </x:row>
    <x:row r="41" ht="22" customHeight="1">
      <x:c r="A41" s="2"/>
      <x:c r="B41" s="2"/>
      <x:c r="C41" s="2"/>
      <x:c r="D41" s="48"/>
      <x:c r="E41" s="48"/>
      <x:c r="F41" s="48"/>
      <x:c r="G41" s="48"/>
      <x:c r="H41" s="48"/>
      <x:c r="I41" s="48"/>
      <x:c r="J41" s="48"/>
      <x:c r="K41" s="48"/>
      <x:c r="L41" s="48"/>
      <x:c r="M41" s="48"/>
      <x:c r="N41" s="48"/>
    </x:row>
    <x:row r="42" ht="22" customHeight="1">
      <x:c r="A42" s="2"/>
      <x:c r="B42" s="2"/>
      <x:c r="C42" s="2"/>
      <x:c r="D42" s="48"/>
      <x:c r="E42" s="48"/>
      <x:c r="F42" s="48"/>
      <x:c r="G42" s="48"/>
      <x:c r="H42" s="48"/>
      <x:c r="I42" s="48"/>
      <x:c r="J42" s="48"/>
      <x:c r="K42" s="48"/>
      <x:c r="L42" s="48"/>
      <x:c r="M42" s="48"/>
      <x:c r="N42" s="48"/>
    </x:row>
    <x:row r="43" ht="22" customHeight="1">
      <x:c r="A43" s="2"/>
      <x:c r="B43" s="2"/>
      <x:c r="C43" s="2"/>
      <x:c r="D43" s="48"/>
      <x:c r="E43" s="48"/>
      <x:c r="F43" s="48"/>
      <x:c r="G43" s="48"/>
      <x:c r="H43" s="48"/>
      <x:c r="I43" s="48"/>
      <x:c r="J43" s="48"/>
      <x:c r="K43" s="48"/>
      <x:c r="L43" s="48"/>
      <x:c r="M43" s="48"/>
      <x:c r="N43" s="48"/>
    </x:row>
    <x:row r="44" ht="24" customHeight="1">
      <x:c r="A44" s="2"/>
      <x:c r="B44" s="2"/>
      <x:c r="C44" s="9" t="str">
        <x:v>Consolidated cash flow</x:v>
      </x:c>
      <x:c r="D44" s="50"/>
      <x:c r="E44" s="50"/>
      <x:c r="F44" s="50"/>
      <x:c r="G44" s="50"/>
      <x:c r="H44" s="50"/>
      <x:c r="I44" s="50"/>
      <x:c r="J44" s="50"/>
      <x:c r="K44" s="50"/>
      <x:c r="L44" s="50"/>
      <x:c r="M44" s="50"/>
      <x:c r="N44" s="50"/>
    </x:row>
    <x:row r="45" ht="22" customHeight="1">
      <x:c r="A45" s="2"/>
      <x:c r="B45" s="2"/>
      <x:c r="C45" s="2"/>
      <x:c r="D45" s="48"/>
      <x:c r="E45" s="48"/>
      <x:c r="F45" s="48"/>
      <x:c r="G45" s="48"/>
      <x:c r="H45" s="48"/>
      <x:c r="I45" s="48"/>
      <x:c r="J45" s="48"/>
      <x:c r="K45" s="48"/>
      <x:c r="L45" s="48"/>
      <x:c r="M45" s="48"/>
      <x:c r="N45" s="48"/>
    </x:row>
    <x:row r="46" ht="22" customHeight="1">
      <x:c r="A46" s="2"/>
      <x:c r="B46" s="2"/>
      <x:c r="C46" s="2" t="str">
        <x:v>Available MW</x:v>
      </x:c>
      <x:c r="D46" s="53" t="n">
        <x:f>SUM(D9,D26)</x:f>
        <x:v>0</x:v>
      </x:c>
      <x:c r="E46" s="53" t="n">
        <x:f>SUM(E9,E26)</x:f>
        <x:v>0</x:v>
      </x:c>
      <x:c r="F46" s="53" t="n">
        <x:f>SUM(F9,F26)</x:f>
        <x:v>5</x:v>
      </x:c>
      <x:c r="G46" s="53" t="n">
        <x:f>SUM(G9,G26)</x:f>
        <x:v>5</x:v>
      </x:c>
      <x:c r="H46" s="53" t="n">
        <x:f>SUM(H9,H26)</x:f>
        <x:v>10</x:v>
      </x:c>
      <x:c r="I46" s="53" t="n">
        <x:f>SUM(I9,I26)</x:f>
        <x:v>10</x:v>
      </x:c>
      <x:c r="J46" s="53" t="n">
        <x:f>SUM(J9,J26)</x:f>
        <x:v>10</x:v>
      </x:c>
      <x:c r="K46" s="53" t="n">
        <x:f>SUM(K9,K26)</x:f>
        <x:v>10</x:v>
      </x:c>
      <x:c r="L46" s="53" t="n">
        <x:f>SUM(L9,L26)</x:f>
        <x:v>10</x:v>
      </x:c>
      <x:c r="M46" s="53" t="n">
        <x:f>SUM(M9,M26)</x:f>
        <x:v>10</x:v>
      </x:c>
      <x:c r="N46" s="53" t="n">
        <x:f>SUM(N9,N26)</x:f>
        <x:v>10</x:v>
      </x:c>
    </x:row>
    <x:row r="47" ht="22" customHeight="1">
      <x:c r="A47" s="2"/>
      <x:c r="B47" s="2"/>
      <x:c r="C47" s="2" t="str">
        <x:v>Leased MW</x:v>
      </x:c>
      <x:c r="D47" s="53" t="n">
        <x:f>SUM(D10,D27)</x:f>
        <x:v>0</x:v>
      </x:c>
      <x:c r="E47" s="53" t="n">
        <x:f>SUM(E10,E27)</x:f>
        <x:v>0</x:v>
      </x:c>
      <x:c r="F47" s="53" t="n">
        <x:f>SUM(F10,F27)</x:f>
        <x:v>2</x:v>
      </x:c>
      <x:c r="G47" s="53" t="n">
        <x:f>SUM(G10,G27)</x:f>
        <x:v>3.25</x:v>
      </x:c>
      <x:c r="H47" s="53" t="n">
        <x:f>SUM(H10,H27)</x:f>
        <x:v>6</x:v>
      </x:c>
      <x:c r="I47" s="53" t="n">
        <x:f>SUM(I10,I27)</x:f>
        <x:v>7.75</x:v>
      </x:c>
      <x:c r="J47" s="53" t="n">
        <x:f>SUM(J10,J27)</x:f>
        <x:v>8.75</x:v>
      </x:c>
      <x:c r="K47" s="53" t="n">
        <x:f>SUM(K10,K27)</x:f>
        <x:v>9.25</x:v>
      </x:c>
      <x:c r="L47" s="53" t="n">
        <x:f>SUM(L10,L27)</x:f>
        <x:v>9.5</x:v>
      </x:c>
      <x:c r="M47" s="53" t="n">
        <x:f>SUM(M10,M27)</x:f>
        <x:v>9.5</x:v>
      </x:c>
      <x:c r="N47" s="53" t="n">
        <x:f>SUM(N10,N27)</x:f>
        <x:v>9.5</x:v>
      </x:c>
    </x:row>
    <x:row r="48" ht="22" customHeight="1">
      <x:c r="A48" s="2"/>
      <x:c r="B48" s="2"/>
      <x:c r="C48" s="2" t="str">
        <x:v>Utilized IT MW</x:v>
      </x:c>
      <x:c r="D48" s="53" t="n">
        <x:f>SUM(D11,D28)</x:f>
        <x:v>0</x:v>
      </x:c>
      <x:c r="E48" s="53" t="n">
        <x:f>SUM(E11,E28)</x:f>
        <x:v>0</x:v>
      </x:c>
      <x:c r="F48" s="53" t="n">
        <x:f>SUM(F11,F28)</x:f>
        <x:v>1.6</x:v>
      </x:c>
      <x:c r="G48" s="53" t="n">
        <x:f>SUM(G11,G28)</x:f>
        <x:v>2.6</x:v>
      </x:c>
      <x:c r="H48" s="53" t="n">
        <x:f>SUM(H11,H28)</x:f>
        <x:v>4.800000000000001</x:v>
      </x:c>
      <x:c r="I48" s="53" t="n">
        <x:f>SUM(I11,I28)</x:f>
        <x:v>6.2</x:v>
      </x:c>
      <x:c r="J48" s="53" t="n">
        <x:f>SUM(J11,J28)</x:f>
        <x:v>7</x:v>
      </x:c>
      <x:c r="K48" s="53" t="n">
        <x:f>SUM(K11,K28)</x:f>
        <x:v>7.4</x:v>
      </x:c>
      <x:c r="L48" s="53" t="n">
        <x:f>SUM(L11,L28)</x:f>
        <x:v>7.6000000000000005</x:v>
      </x:c>
      <x:c r="M48" s="53" t="n">
        <x:f>SUM(M11,M28)</x:f>
        <x:v>7.6000000000000005</x:v>
      </x:c>
      <x:c r="N48" s="53" t="n">
        <x:f>SUM(N11,N28)</x:f>
        <x:v>7.6000000000000005</x:v>
      </x:c>
    </x:row>
    <x:row r="49" ht="22" customHeight="1">
      <x:c r="A49" s="2"/>
      <x:c r="B49" s="2"/>
      <x:c r="C49" s="2" t="str">
        <x:v>Revenue</x:v>
      </x:c>
      <x:c r="D49" s="45" t="n">
        <x:f>SUM(D13,D30)</x:f>
        <x:v>0</x:v>
      </x:c>
      <x:c r="E49" s="45" t="n">
        <x:f>SUM(E13,E30)</x:f>
        <x:v>0</x:v>
      </x:c>
      <x:c r="F49" s="45" t="n">
        <x:f>SUM(F13,F30)</x:f>
        <x:v>5534999.999999999</x:v>
      </x:c>
      <x:c r="G49" s="45" t="n">
        <x:f>SUM(G13,G30)</x:f>
        <x:v>9219234.374999998</x:v>
      </x:c>
      <x:c r="H49" s="45" t="n">
        <x:f>SUM(H13,H30)</x:f>
        <x:v>17445628.124999993</x:v>
      </x:c>
      <x:c r="I49" s="45" t="n">
        <x:f>SUM(I13,I30)</x:f>
        <x:v>23097284.736328118</x:v>
      </x:c>
      <x:c r="J49" s="45" t="n">
        <x:f>SUM(J13,J30)</x:f>
        <x:v>26729519.029541</x:v>
      </x:c>
      <x:c r="K49" s="45" t="n">
        <x:f>SUM(K13,K30)</x:f>
        <x:v>28963343.119866922</x:v>
      </x:c>
      <x:c r="L49" s="45" t="n">
        <x:f>SUM(L13,L30)</x:f>
        <x:v>30489789.581589643</x:v>
      </x:c>
      <x:c r="M49" s="45" t="n">
        <x:f>SUM(M13,M30)</x:f>
        <x:v>31252034.321129378</x:v>
      </x:c>
      <x:c r="N49" s="45" t="n">
        <x:f>SUM(N13,N30)</x:f>
        <x:v>32033335.179157615</x:v>
      </x:c>
    </x:row>
    <x:row r="50" ht="22" customHeight="1">
      <x:c r="A50" s="2"/>
      <x:c r="B50" s="2"/>
      <x:c r="C50" s="2" t="str">
        <x:v>Power cost</x:v>
      </x:c>
      <x:c r="D50" s="49" t="n">
        <x:f>SUM(D16,D33)</x:f>
        <x:v>0</x:v>
      </x:c>
      <x:c r="E50" s="49" t="n">
        <x:f>SUM(E16,E33)</x:f>
        <x:v>0</x:v>
      </x:c>
      <x:c r="F50" s="49" t="n">
        <x:f>SUM(F16,F33)</x:f>
        <x:v>1419120</x:v>
      </x:c>
      <x:c r="G50" s="49" t="n">
        <x:f>SUM(G16,G33)</x:f>
        <x:v>2306070</x:v>
      </x:c>
      <x:c r="H50" s="49" t="n">
        <x:f>SUM(H16,H33)</x:f>
        <x:v>4257360</x:v>
      </x:c>
      <x:c r="I50" s="49" t="n">
        <x:f>SUM(I16,I33)</x:f>
        <x:v>5499090</x:v>
      </x:c>
      <x:c r="J50" s="49" t="n">
        <x:f>SUM(J16,J33)</x:f>
        <x:v>6208650</x:v>
      </x:c>
      <x:c r="K50" s="49" t="n">
        <x:f>SUM(K16,K33)</x:f>
        <x:v>6563430</x:v>
      </x:c>
      <x:c r="L50" s="49" t="n">
        <x:f>SUM(L16,L33)</x:f>
        <x:v>6740820.000000001</x:v>
      </x:c>
      <x:c r="M50" s="49" t="n">
        <x:f>SUM(M16,M33)</x:f>
        <x:v>6740820.000000001</x:v>
      </x:c>
      <x:c r="N50" s="49" t="n">
        <x:f>SUM(N16,N33)</x:f>
        <x:v>6740820.000000001</x:v>
      </x:c>
    </x:row>
    <x:row r="51" ht="22" customHeight="1">
      <x:c r="A51" s="2"/>
      <x:c r="B51" s="2"/>
      <x:c r="C51" s="2" t="str">
        <x:v>Other operating costs</x:v>
      </x:c>
      <x:c r="D51" s="49" t="n">
        <x:f>SUM(D17,D34)</x:f>
        <x:v>0</x:v>
      </x:c>
      <x:c r="E51" s="49" t="n">
        <x:f>SUM(E17,E34)</x:f>
        <x:v>0</x:v>
      </x:c>
      <x:c r="F51" s="49" t="n">
        <x:f>SUM(F17,F34)</x:f>
        <x:v>1300000</x:v>
      </x:c>
      <x:c r="G51" s="49" t="n">
        <x:f>SUM(G17,G34)</x:f>
        <x:v>1300000</x:v>
      </x:c>
      <x:c r="H51" s="49" t="n">
        <x:f>SUM(H17,H34)</x:f>
        <x:v>2600000</x:v>
      </x:c>
      <x:c r="I51" s="49" t="n">
        <x:f>SUM(I17,I34)</x:f>
        <x:v>2600000</x:v>
      </x:c>
      <x:c r="J51" s="49" t="n">
        <x:f>SUM(J17,J34)</x:f>
        <x:v>2600000</x:v>
      </x:c>
      <x:c r="K51" s="49" t="n">
        <x:f>SUM(K17,K34)</x:f>
        <x:v>2600000</x:v>
      </x:c>
      <x:c r="L51" s="49" t="n">
        <x:f>SUM(L17,L34)</x:f>
        <x:v>2600000</x:v>
      </x:c>
      <x:c r="M51" s="49" t="n">
        <x:f>SUM(M17,M34)</x:f>
        <x:v>2600000</x:v>
      </x:c>
      <x:c r="N51" s="49" t="n">
        <x:f>SUM(N17,N34)</x:f>
        <x:v>2600000</x:v>
      </x:c>
    </x:row>
    <x:row r="52" ht="22" customHeight="1">
      <x:c r="A52" s="2"/>
      <x:c r="B52" s="2"/>
      <x:c r="C52" s="37" t="str">
        <x:v>EBITDA</x:v>
      </x:c>
      <x:c r="D52" s="71" t="n">
        <x:f>SUM(D18,D35)</x:f>
        <x:v>0</x:v>
      </x:c>
      <x:c r="E52" s="71" t="n">
        <x:f>SUM(E18,E35)</x:f>
        <x:v>0</x:v>
      </x:c>
      <x:c r="F52" s="71" t="n">
        <x:f>SUM(F18,F35)</x:f>
        <x:v>2815879.999999999</x:v>
      </x:c>
      <x:c r="G52" s="71" t="n">
        <x:f>SUM(G18,G35)</x:f>
        <x:v>5613164.374999998</x:v>
      </x:c>
      <x:c r="H52" s="71" t="n">
        <x:f>SUM(H18,H35)</x:f>
        <x:v>10588268.124999994</x:v>
      </x:c>
      <x:c r="I52" s="71" t="n">
        <x:f>SUM(I18,I35)</x:f>
        <x:v>14998194.736328118</x:v>
      </x:c>
      <x:c r="J52" s="71" t="n">
        <x:f>SUM(J18,J35)</x:f>
        <x:v>17920869.029541</x:v>
      </x:c>
      <x:c r="K52" s="71" t="n">
        <x:f>SUM(K18,K35)</x:f>
        <x:v>19799913.119866922</x:v>
      </x:c>
      <x:c r="L52" s="71" t="n">
        <x:f>SUM(L18,L35)</x:f>
        <x:v>21148969.581589643</x:v>
      </x:c>
      <x:c r="M52" s="71" t="n">
        <x:f>SUM(M18,M35)</x:f>
        <x:v>21911214.321129378</x:v>
      </x:c>
      <x:c r="N52" s="71" t="n">
        <x:f>SUM(N18,N35)</x:f>
        <x:v>22692515.179157615</x:v>
      </x:c>
    </x:row>
    <x:row r="53" ht="22" customHeight="1">
      <x:c r="A53" s="2"/>
      <x:c r="B53" s="2"/>
      <x:c r="C53" s="2" t="str">
        <x:v>Cash taxes (proxy)</x:v>
      </x:c>
      <x:c r="D53" s="49" t="n">
        <x:f>SUM(D19,D36)</x:f>
        <x:v>0</x:v>
      </x:c>
      <x:c r="E53" s="49" t="n">
        <x:f>SUM(E19,E36)</x:f>
        <x:v>0</x:v>
      </x:c>
      <x:c r="F53" s="49" t="n">
        <x:f>SUM(F19,F36)</x:f>
        <x:v>703969.9999999998</x:v>
      </x:c>
      <x:c r="G53" s="49" t="n">
        <x:f>SUM(G19,G36)</x:f>
        <x:v>1403291.0937499995</x:v>
      </x:c>
      <x:c r="H53" s="49" t="n">
        <x:f>SUM(H19,H36)</x:f>
        <x:v>2647067.0312499986</x:v>
      </x:c>
      <x:c r="I53" s="49" t="n">
        <x:f>SUM(I19,I36)</x:f>
        <x:v>3749548.6840820294</x:v>
      </x:c>
      <x:c r="J53" s="49" t="n">
        <x:f>SUM(J19,J36)</x:f>
        <x:v>4480217.25738525</x:v>
      </x:c>
      <x:c r="K53" s="49" t="n">
        <x:f>SUM(K19,K36)</x:f>
        <x:v>4949978.279966731</x:v>
      </x:c>
      <x:c r="L53" s="49" t="n">
        <x:f>SUM(L19,L36)</x:f>
        <x:v>5287242.395397411</x:v>
      </x:c>
      <x:c r="M53" s="49" t="n">
        <x:f>SUM(M19,M36)</x:f>
        <x:v>5477803.5802823445</x:v>
      </x:c>
      <x:c r="N53" s="49" t="n">
        <x:f>SUM(N19,N36)</x:f>
        <x:v>5673128.794789404</x:v>
      </x:c>
    </x:row>
    <x:row r="54" ht="22" customHeight="1">
      <x:c r="A54" s="2"/>
      <x:c r="B54" s="2"/>
      <x:c r="C54" s="2" t="str">
        <x:v>Maintenance CapEx</x:v>
      </x:c>
      <x:c r="D54" s="49" t="n">
        <x:f>SUM(D20,D37)</x:f>
        <x:v>0</x:v>
      </x:c>
      <x:c r="E54" s="49" t="n">
        <x:f>SUM(E20,E37)</x:f>
        <x:v>0</x:v>
      </x:c>
      <x:c r="F54" s="49" t="n">
        <x:f>SUM(F20,F37)</x:f>
        <x:v>250000</x:v>
      </x:c>
      <x:c r="G54" s="49" t="n">
        <x:f>SUM(G20,G37)</x:f>
        <x:v>250000</x:v>
      </x:c>
      <x:c r="H54" s="49" t="n">
        <x:f>SUM(H20,H37)</x:f>
        <x:v>500000</x:v>
      </x:c>
      <x:c r="I54" s="49" t="n">
        <x:f>SUM(I20,I37)</x:f>
        <x:v>500000</x:v>
      </x:c>
      <x:c r="J54" s="49" t="n">
        <x:f>SUM(J20,J37)</x:f>
        <x:v>500000</x:v>
      </x:c>
      <x:c r="K54" s="49" t="n">
        <x:f>SUM(K20,K37)</x:f>
        <x:v>500000</x:v>
      </x:c>
      <x:c r="L54" s="49" t="n">
        <x:f>SUM(L20,L37)</x:f>
        <x:v>500000</x:v>
      </x:c>
      <x:c r="M54" s="49" t="n">
        <x:f>SUM(M20,M37)</x:f>
        <x:v>500000</x:v>
      </x:c>
      <x:c r="N54" s="49" t="n">
        <x:f>SUM(N20,N37)</x:f>
        <x:v>500000</x:v>
      </x:c>
    </x:row>
    <x:row r="55" ht="22" customHeight="1">
      <x:c r="A55" s="2"/>
      <x:c r="B55" s="2"/>
      <x:c r="C55" s="2" t="str">
        <x:v>Working capital balance</x:v>
      </x:c>
      <x:c r="D55" s="49" t="n">
        <x:f>SUM(D21,D38)</x:f>
        <x:v>0</x:v>
      </x:c>
      <x:c r="E55" s="49" t="n">
        <x:f>SUM(E21,E38)</x:f>
        <x:v>0</x:v>
      </x:c>
      <x:c r="F55" s="49" t="n">
        <x:f>SUM(F21,F38)</x:f>
        <x:v>276749.99999999994</x:v>
      </x:c>
      <x:c r="G55" s="49" t="n">
        <x:f>SUM(G21,G38)</x:f>
        <x:v>460961.71874999994</x:v>
      </x:c>
      <x:c r="H55" s="49" t="n">
        <x:f>SUM(H21,H38)</x:f>
        <x:v>872281.4062499998</x:v>
      </x:c>
      <x:c r="I55" s="49" t="n">
        <x:f>SUM(I21,I38)</x:f>
        <x:v>1154864.236816406</x:v>
      </x:c>
      <x:c r="J55" s="49" t="n">
        <x:f>SUM(J21,J38)</x:f>
        <x:v>1336475.9514770498</x:v>
      </x:c>
      <x:c r="K55" s="49" t="n">
        <x:f>SUM(K21,K38)</x:f>
        <x:v>1448167.1559933461</x:v>
      </x:c>
      <x:c r="L55" s="49" t="n">
        <x:f>SUM(L21,L38)</x:f>
        <x:v>1524489.4790794821</x:v>
      </x:c>
      <x:c r="M55" s="49" t="n">
        <x:f>SUM(M21,M38)</x:f>
        <x:v>1562601.716056469</x:v>
      </x:c>
      <x:c r="N55" s="49" t="n">
        <x:f>SUM(N21,N38)</x:f>
        <x:v>1601666.7589578808</x:v>
      </x:c>
    </x:row>
    <x:row r="56" ht="22" customHeight="1">
      <x:c r="A56" s="2"/>
      <x:c r="B56" s="2"/>
      <x:c r="C56" s="2" t="str">
        <x:v>Change in working capital</x:v>
      </x:c>
      <x:c r="D56" s="49" t="n">
        <x:f>SUM(D22,D39)</x:f>
        <x:v>0</x:v>
      </x:c>
      <x:c r="E56" s="49" t="n">
        <x:f>SUM(E22,E39)</x:f>
        <x:v>0</x:v>
      </x:c>
      <x:c r="F56" s="49" t="n">
        <x:f>SUM(F22,F39)</x:f>
        <x:v>276749.99999999994</x:v>
      </x:c>
      <x:c r="G56" s="49" t="n">
        <x:f>SUM(G22,G39)</x:f>
        <x:v>184211.71875</x:v>
      </x:c>
      <x:c r="H56" s="49" t="n">
        <x:f>SUM(H22,H39)</x:f>
        <x:v>411319.6874999999</x:v>
      </x:c>
      <x:c r="I56" s="49" t="n">
        <x:f>SUM(I22,I39)</x:f>
        <x:v>282582.83056640613</x:v>
      </x:c>
      <x:c r="J56" s="49" t="n">
        <x:f>SUM(J22,J39)</x:f>
        <x:v>181611.714660644</x:v>
      </x:c>
      <x:c r="K56" s="49" t="n">
        <x:f>SUM(K22,K39)</x:f>
        <x:v>111691.20451629627</x:v>
      </x:c>
      <x:c r="L56" s="49" t="n">
        <x:f>SUM(L22,L39)</x:f>
        <x:v>76322.3230861359</x:v>
      </x:c>
      <x:c r="M56" s="49" t="n">
        <x:f>SUM(M22,M39)</x:f>
        <x:v>38112.23697698675</x:v>
      </x:c>
      <x:c r="N56" s="49" t="n">
        <x:f>SUM(N22,N39)</x:f>
        <x:v>39065.042901411885</x:v>
      </x:c>
    </x:row>
    <x:row r="57" ht="22" customHeight="1">
      <x:c r="A57" s="2"/>
      <x:c r="B57" s="2"/>
      <x:c r="C57" s="37" t="str">
        <x:v>CFADS</x:v>
      </x:c>
      <x:c r="D57" s="71" t="n">
        <x:f>SUM(D23,D40)</x:f>
        <x:v>0</x:v>
      </x:c>
      <x:c r="E57" s="71" t="n">
        <x:f>SUM(E23,E40)</x:f>
        <x:v>0</x:v>
      </x:c>
      <x:c r="F57" s="71" t="n">
        <x:f>SUM(F23,F40)</x:f>
        <x:v>1585159.999999999</x:v>
      </x:c>
      <x:c r="G57" s="71" t="n">
        <x:f>SUM(G23,G40)</x:f>
        <x:v>3775661.562499998</x:v>
      </x:c>
      <x:c r="H57" s="71" t="n">
        <x:f>SUM(H23,H40)</x:f>
        <x:v>7029881.406249996</x:v>
      </x:c>
      <x:c r="I57" s="71" t="n">
        <x:f>SUM(I23,I40)</x:f>
        <x:v>10466063.221679682</x:v>
      </x:c>
      <x:c r="J57" s="71" t="n">
        <x:f>SUM(J23,J40)</x:f>
        <x:v>12759040.057495106</x:v>
      </x:c>
      <x:c r="K57" s="71" t="n">
        <x:f>SUM(K23,K40)</x:f>
        <x:v>14238243.635383897</x:v>
      </x:c>
      <x:c r="L57" s="71" t="n">
        <x:f>SUM(L23,L40)</x:f>
        <x:v>15285404.863106098</x:v>
      </x:c>
      <x:c r="M57" s="71" t="n">
        <x:f>SUM(M23,M40)</x:f>
        <x:v>15895298.503870046</x:v>
      </x:c>
      <x:c r="N57" s="71" t="n">
        <x:f>SUM(N23,N40)</x:f>
        <x:v>16480321.3414668</x:v>
      </x:c>
    </x:row>
    <x:row r="58" ht="22" customHeight="1">
      <x:c r="A58" s="2"/>
      <x:c r="B58" s="2"/>
      <x:c r="C58" s="37" t="str">
        <x:v>Unlevered free cash flow</x:v>
      </x:c>
      <x:c r="D58" s="72" t="n">
        <x:f>D57-'Construction'!D10</x:f>
        <x:v>-40484000</x:v>
      </x:c>
      <x:c r="E58" s="72" t="n">
        <x:f>E57-'Construction'!E10</x:f>
        <x:v>-37808000</x:v>
      </x:c>
      <x:c r="F58" s="72" t="n">
        <x:f>F57-'Construction'!F10</x:f>
        <x:v>-25294840</x:v>
      </x:c>
      <x:c r="G58" s="72" t="n">
        <x:f>G57-'Construction'!G10</x:f>
        <x:v>-36544338.4375</x:v>
      </x:c>
      <x:c r="H58" s="72" t="n">
        <x:f>H57-'Construction'!H10</x:f>
        <x:v>7029881.406249996</x:v>
      </x:c>
      <x:c r="I58" s="72" t="n">
        <x:f>I57-'Construction'!I10</x:f>
        <x:v>10466063.221679682</x:v>
      </x:c>
      <x:c r="J58" s="72" t="n">
        <x:f>J57-'Construction'!J10</x:f>
        <x:v>12759040.057495106</x:v>
      </x:c>
      <x:c r="K58" s="72" t="n">
        <x:f>K57-'Construction'!K10</x:f>
        <x:v>14238243.635383897</x:v>
      </x:c>
      <x:c r="L58" s="72" t="n">
        <x:f>L57-'Construction'!L10</x:f>
        <x:v>15285404.863106098</x:v>
      </x:c>
      <x:c r="M58" s="72" t="n">
        <x:f>M57-'Construction'!M10</x:f>
        <x:v>15895298.503870046</x:v>
      </x:c>
      <x:c r="N58" s="72" t="n">
        <x:f>N57-'Construction'!N10</x:f>
        <x:v>16480321.3414668</x:v>
      </x:c>
    </x:row>
    <x:row r="59" ht="22" customHeight="1">
      <x:c r="A59" s="2"/>
      <x:c r="B59" s="2"/>
      <x:c r="C59" s="2" t="str">
        <x:v>EBITDA margin</x:v>
      </x:c>
      <x:c r="D59" s="41" t="str">
        <x:f>IF(D49=0,"n.a.",D52/D49)</x:f>
        <x:v>n.a.</x:v>
      </x:c>
      <x:c r="E59" s="41" t="str">
        <x:f>IF(E49=0,"n.a.",E52/E49)</x:f>
        <x:v>n.a.</x:v>
      </x:c>
      <x:c r="F59" s="41" t="n">
        <x:f>IF(F49=0,"n.a.",F52/F49)</x:f>
        <x:v>0.5087407407407406</x:v>
      </x:c>
      <x:c r="G59" s="41" t="n">
        <x:f>IF(G49=0,"n.a.",G52/G49)</x:f>
        <x:v>0.6088536365038446</x:v>
      </x:c>
      <x:c r="H59" s="41" t="n">
        <x:f>IF(H49=0,"n.a.",H52/H49)</x:f>
        <x:v>0.6069296014527994</x:v>
      </x:c>
      <x:c r="I59" s="41" t="n">
        <x:f>IF(I49=0,"n.a.",I52/I49)</x:f>
        <x:v>0.6493488263899044</x:v>
      </x:c>
      <x:c r="J59" s="41" t="n">
        <x:f>IF(J49=0,"n.a.",J52/J49)</x:f>
        <x:v>0.6704523568020497</x:v>
      </x:c>
      <x:c r="K59" s="41" t="n">
        <x:f>IF(K49=0,"n.a.",K52/K49)</x:f>
        <x:v>0.6836197409229842</x:v>
      </x:c>
      <x:c r="L59" s="41" t="n">
        <x:f>IF(L49=0,"n.a.",L52/L49)</x:f>
        <x:v>0.6936410474396918</x:v>
      </x:c>
      <x:c r="M59" s="41" t="n">
        <x:f>IF(M49=0,"n.a.",M52/M49)</x:f>
        <x:v>0.7011132170143334</x:v>
      </x:c>
      <x:c r="N59" s="41" t="n">
        <x:f>IF(N49=0,"n.a.",N52/N49)</x:f>
        <x:v>0.7084031385505692</x:v>
      </x:c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Debt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9" t="str">
        <x:v>Calendar year</x:v>
      </x:c>
      <x:c r="D5" s="10" t="n">
        <x:f>'Assumptions'!$D$9+D6</x:f>
        <x:v>2026</x:v>
      </x:c>
      <x:c r="E5" s="10" t="n">
        <x:f>'Assumptions'!$D$9+E6</x:f>
        <x:v>2027</x:v>
      </x:c>
      <x:c r="F5" s="10" t="n">
        <x:f>'Assumptions'!$D$9+F6</x:f>
        <x:v>2028</x:v>
      </x:c>
      <x:c r="G5" s="10" t="n">
        <x:f>'Assumptions'!$D$9+G6</x:f>
        <x:v>2029</x:v>
      </x:c>
      <x:c r="H5" s="10" t="n">
        <x:f>'Assumptions'!$D$9+H6</x:f>
        <x:v>2030</x:v>
      </x:c>
      <x:c r="I5" s="10" t="n">
        <x:f>'Assumptions'!$D$9+I6</x:f>
        <x:v>2031</x:v>
      </x:c>
      <x:c r="J5" s="10" t="n">
        <x:f>'Assumptions'!$D$9+J6</x:f>
        <x:v>2032</x:v>
      </x:c>
      <x:c r="K5" s="10" t="n">
        <x:f>'Assumptions'!$D$9+K6</x:f>
        <x:v>2033</x:v>
      </x:c>
      <x:c r="L5" s="10" t="n">
        <x:f>'Assumptions'!$D$9+L6</x:f>
        <x:v>2034</x:v>
      </x:c>
      <x:c r="M5" s="10" t="n">
        <x:f>'Assumptions'!$D$9+M6</x:f>
        <x:v>2035</x:v>
      </x:c>
      <x:c r="N5" s="10" t="n">
        <x:f>'Assumptions'!$D$9+N6</x:f>
        <x:v>2036</x:v>
      </x:c>
    </x:row>
    <x:row r="6" ht="22" customHeight="1">
      <x:c r="A6" s="2"/>
      <x:c r="B6" s="2"/>
      <x:c r="C6" s="9" t="str">
        <x:v>Model year</x:v>
      </x:c>
      <x:c r="D6" s="10" t="n">
        <x:f>'Assumptions'!D84</x:f>
        <x:v>0</x:v>
      </x:c>
      <x:c r="E6" s="10" t="n">
        <x:f>'Assumptions'!E84</x:f>
        <x:v>1</x:v>
      </x:c>
      <x:c r="F6" s="10" t="n">
        <x:f>'Assumptions'!F84</x:f>
        <x:v>2</x:v>
      </x:c>
      <x:c r="G6" s="10" t="n">
        <x:f>'Assumptions'!G84</x:f>
        <x:v>3</x:v>
      </x:c>
      <x:c r="H6" s="10" t="n">
        <x:f>'Assumptions'!H84</x:f>
        <x:v>4</x:v>
      </x:c>
      <x:c r="I6" s="10" t="n">
        <x:f>'Assumptions'!I84</x:f>
        <x:v>5</x:v>
      </x:c>
      <x:c r="J6" s="10" t="n">
        <x:f>'Assumptions'!J84</x:f>
        <x:v>6</x:v>
      </x:c>
      <x:c r="K6" s="10" t="n">
        <x:f>'Assumptions'!K84</x:f>
        <x:v>7</x:v>
      </x:c>
      <x:c r="L6" s="10" t="n">
        <x:f>'Assumptions'!L84</x:f>
        <x:v>8</x:v>
      </x:c>
      <x:c r="M6" s="10" t="n">
        <x:f>'Assumptions'!M84</x:f>
        <x:v>9</x:v>
      </x:c>
      <x:c r="N6" s="10" t="n">
        <x:f>'Assumptions'!N84</x:f>
        <x:v>10</x:v>
      </x:c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/>
      <x:c r="B8" s="2"/>
      <x:c r="C8" s="2" t="str">
        <x:v>Debt commitment</x:v>
      </x:c>
      <x:c r="D8" s="46" t="n">
        <x:f>SUM('Construction'!D10:N10)*'Assumptions'!$D$23</x:f>
        <x:v>65471400</x:v>
      </x:c>
      <x:c r="E8" s="48"/>
      <x:c r="F8" s="48"/>
      <x:c r="G8" s="48"/>
      <x:c r="H8" s="48"/>
      <x:c r="I8" s="48"/>
      <x:c r="J8" s="48"/>
      <x:c r="K8" s="48"/>
      <x:c r="L8" s="48"/>
      <x:c r="M8" s="48"/>
      <x:c r="N8" s="48"/>
    </x:row>
    <x:row r="9" ht="22" customHeight="1">
      <x:c r="A9" s="2"/>
      <x:c r="B9" s="2"/>
      <x:c r="C9" s="2" t="str">
        <x:v>Annuity debt service</x:v>
      </x:c>
      <x:c r="D9" s="46" t="n">
        <x:f>IF('Assumptions'!$D$48=0,D8/'Assumptions'!$D$26,-PMT('Assumptions'!$D$48,'Assumptions'!$D$26,D8))</x:f>
        <x:v>12148429.063759485</x:v>
      </x:c>
      <x:c r="E9" s="48"/>
      <x:c r="F9" s="48"/>
      <x:c r="G9" s="48"/>
      <x:c r="H9" s="48"/>
      <x:c r="I9" s="48"/>
      <x:c r="J9" s="48"/>
      <x:c r="K9" s="48"/>
      <x:c r="L9" s="48"/>
      <x:c r="M9" s="48"/>
      <x:c r="N9" s="48"/>
    </x:row>
    <x:row r="10" ht="22" customHeight="1">
      <x:c r="A10" s="2"/>
      <x:c r="B10" s="2"/>
      <x:c r="C10" s="2"/>
      <x:c r="D10" s="48"/>
      <x:c r="E10" s="48"/>
      <x:c r="F10" s="48"/>
      <x:c r="G10" s="48"/>
      <x:c r="H10" s="48"/>
      <x:c r="I10" s="48"/>
      <x:c r="J10" s="48"/>
      <x:c r="K10" s="48"/>
      <x:c r="L10" s="48"/>
      <x:c r="M10" s="48"/>
      <x:c r="N10" s="48"/>
    </x:row>
    <x:row r="11" ht="22" customHeight="1">
      <x:c r="A11" s="2"/>
      <x:c r="B11" s="2"/>
      <x:c r="C11" s="2"/>
      <x:c r="D11" s="48"/>
      <x:c r="E11" s="48"/>
      <x:c r="F11" s="48"/>
      <x:c r="G11" s="48"/>
      <x:c r="H11" s="48"/>
      <x:c r="I11" s="48"/>
      <x:c r="J11" s="48"/>
      <x:c r="K11" s="48"/>
      <x:c r="L11" s="48"/>
      <x:c r="M11" s="48"/>
      <x:c r="N11" s="48"/>
    </x:row>
    <x:row r="12" ht="22" customHeight="1">
      <x:c r="A12" s="2"/>
      <x:c r="B12" s="2"/>
      <x:c r="C12" s="2" t="str">
        <x:v>Opening debt</x:v>
      </x:c>
      <x:c r="D12" s="49" t="n">
        <x:f>0</x:f>
        <x:v>0</x:v>
      </x:c>
      <x:c r="E12" s="49" t="n">
        <x:f>D18</x:f>
        <x:v>18217800</x:v>
      </x:c>
      <x:c r="F12" s="49" t="n">
        <x:f>E18</x:f>
        <x:v>35231400</x:v>
      </x:c>
      <x:c r="G12" s="49" t="n">
        <x:f>F18</x:f>
        <x:v>47327400</x:v>
      </x:c>
      <x:c r="H12" s="49" t="n">
        <x:f>G18</x:f>
        <x:v>65471400</x:v>
      </x:c>
      <x:c r="I12" s="49" t="n">
        <x:f>H18</x:f>
        <x:v>56118342.85714286</x:v>
      </x:c>
      <x:c r="J12" s="49" t="n">
        <x:f>I18</x:f>
        <x:v>46765285.71428572</x:v>
      </x:c>
      <x:c r="K12" s="49" t="n">
        <x:f>J18</x:f>
        <x:v>37412228.571428575</x:v>
      </x:c>
      <x:c r="L12" s="49" t="n">
        <x:f>K18</x:f>
        <x:v>28059171.428571433</x:v>
      </x:c>
      <x:c r="M12" s="49" t="n">
        <x:f>L18</x:f>
        <x:v>18706114.28571429</x:v>
      </x:c>
      <x:c r="N12" s="49" t="n">
        <x:f>M18</x:f>
        <x:v>9353057.142857147</x:v>
      </x:c>
    </x:row>
    <x:row r="13" ht="22" customHeight="1">
      <x:c r="A13" s="2"/>
      <x:c r="B13" s="2"/>
      <x:c r="C13" s="2" t="str">
        <x:v>Construction draw</x:v>
      </x:c>
      <x:c r="D13" s="46" t="n">
        <x:f>'Construction'!D10*'Assumptions'!$D$23</x:f>
        <x:v>18217800</x:v>
      </x:c>
      <x:c r="E13" s="46" t="n">
        <x:f>'Construction'!E10*'Assumptions'!$D$23</x:f>
        <x:v>17013600</x:v>
      </x:c>
      <x:c r="F13" s="46" t="n">
        <x:f>'Construction'!F10*'Assumptions'!$D$23</x:f>
        <x:v>12096000</x:v>
      </x:c>
      <x:c r="G13" s="46" t="n">
        <x:f>'Construction'!G10*'Assumptions'!$D$23</x:f>
        <x:v>18144000</x:v>
      </x:c>
      <x:c r="H13" s="46" t="n">
        <x:f>'Construction'!H10*'Assumptions'!$D$23</x:f>
        <x:v>0</x:v>
      </x:c>
      <x:c r="I13" s="46" t="n">
        <x:f>'Construction'!I10*'Assumptions'!$D$23</x:f>
        <x:v>0</x:v>
      </x:c>
      <x:c r="J13" s="46" t="n">
        <x:f>'Construction'!J10*'Assumptions'!$D$23</x:f>
        <x:v>0</x:v>
      </x:c>
      <x:c r="K13" s="46" t="n">
        <x:f>'Construction'!K10*'Assumptions'!$D$23</x:f>
        <x:v>0</x:v>
      </x:c>
      <x:c r="L13" s="46" t="n">
        <x:f>'Construction'!L10*'Assumptions'!$D$23</x:f>
        <x:v>0</x:v>
      </x:c>
      <x:c r="M13" s="46" t="n">
        <x:f>'Construction'!M10*'Assumptions'!$D$23</x:f>
        <x:v>0</x:v>
      </x:c>
      <x:c r="N13" s="46" t="n">
        <x:f>'Construction'!N10*'Assumptions'!$D$23</x:f>
        <x:v>0</x:v>
      </x:c>
    </x:row>
    <x:row r="14" ht="22" customHeight="1">
      <x:c r="A14" s="2"/>
      <x:c r="B14" s="2"/>
      <x:c r="C14" s="2" t="str">
        <x:v>Cash interest</x:v>
      </x:c>
      <x:c r="D14" s="46" t="n">
        <x:f>(D12+D13/2)*'Assumptions'!$D$48</x:f>
        <x:v>637623.0000000001</x:v>
      </x:c>
      <x:c r="E14" s="46" t="n">
        <x:f>(E12+E13/2)*'Assumptions'!$D$48</x:f>
        <x:v>1870722.0000000002</x:v>
      </x:c>
      <x:c r="F14" s="46" t="n">
        <x:f>(F12+F13/2)*'Assumptions'!$D$48</x:f>
        <x:v>2889558.0000000005</x:v>
      </x:c>
      <x:c r="G14" s="46" t="n">
        <x:f>(G12+G13/2)*'Assumptions'!$D$48</x:f>
        <x:v>3947958.0000000005</x:v>
      </x:c>
      <x:c r="H14" s="46" t="n">
        <x:f>(H12+H13/2)*'Assumptions'!$D$48</x:f>
        <x:v>4582998</x:v>
      </x:c>
      <x:c r="I14" s="46" t="n">
        <x:f>(I12+I13/2)*'Assumptions'!$D$48</x:f>
        <x:v>3928284.0000000005</x:v>
      </x:c>
      <x:c r="J14" s="46" t="n">
        <x:f>(J12+J13/2)*'Assumptions'!$D$48</x:f>
        <x:v>3273570.0000000005</x:v>
      </x:c>
      <x:c r="K14" s="46" t="n">
        <x:f>(K12+K13/2)*'Assumptions'!$D$48</x:f>
        <x:v>2618856.0000000005</x:v>
      </x:c>
      <x:c r="L14" s="46" t="n">
        <x:f>(L12+L13/2)*'Assumptions'!$D$48</x:f>
        <x:v>1964142.0000000005</x:v>
      </x:c>
      <x:c r="M14" s="46" t="n">
        <x:f>(M12+M13/2)*'Assumptions'!$D$48</x:f>
        <x:v>1309428.0000000005</x:v>
      </x:c>
      <x:c r="N14" s="46" t="n">
        <x:f>(N12+N13/2)*'Assumptions'!$D$48</x:f>
        <x:v>654714.0000000003</x:v>
      </x:c>
    </x:row>
    <x:row r="15" ht="22" customHeight="1">
      <x:c r="A15" s="2"/>
      <x:c r="B15" s="2"/>
      <x:c r="C15" s="2" t="str">
        <x:v>Scheduled principal</x:v>
      </x:c>
      <x:c r="D15" s="46" t="n">
        <x:f>IF(D$6='Assumptions'!$D$25+'Assumptions'!$D$26-1,D12,IF(AND(D$6&gt;='Assumptions'!$D$25,D$6&lt;'Assumptions'!$D$25+'Assumptions'!$D$26),MIN(D12,IF('Assumptions'!$D$27=1,$D$8/'Assumptions'!$D$26,MAX(0,$D$9-D14))),0))</x:f>
        <x:v>0</x:v>
      </x:c>
      <x:c r="E15" s="46" t="n">
        <x:f>IF(E$6='Assumptions'!$D$25+'Assumptions'!$D$26-1,E12,IF(AND(E$6&gt;='Assumptions'!$D$25,E$6&lt;'Assumptions'!$D$25+'Assumptions'!$D$26),MIN(E12,IF('Assumptions'!$D$27=1,$D$8/'Assumptions'!$D$26,MAX(0,$D$9-E14))),0))</x:f>
        <x:v>0</x:v>
      </x:c>
      <x:c r="F15" s="46" t="n">
        <x:f>IF(F$6='Assumptions'!$D$25+'Assumptions'!$D$26-1,F12,IF(AND(F$6&gt;='Assumptions'!$D$25,F$6&lt;'Assumptions'!$D$25+'Assumptions'!$D$26),MIN(F12,IF('Assumptions'!$D$27=1,$D$8/'Assumptions'!$D$26,MAX(0,$D$9-F14))),0))</x:f>
        <x:v>0</x:v>
      </x:c>
      <x:c r="G15" s="46" t="n">
        <x:f>IF(G$6='Assumptions'!$D$25+'Assumptions'!$D$26-1,G12,IF(AND(G$6&gt;='Assumptions'!$D$25,G$6&lt;'Assumptions'!$D$25+'Assumptions'!$D$26),MIN(G12,IF('Assumptions'!$D$27=1,$D$8/'Assumptions'!$D$26,MAX(0,$D$9-G14))),0))</x:f>
        <x:v>0</x:v>
      </x:c>
      <x:c r="H15" s="46" t="n">
        <x:f>IF(H$6='Assumptions'!$D$25+'Assumptions'!$D$26-1,H12,IF(AND(H$6&gt;='Assumptions'!$D$25,H$6&lt;'Assumptions'!$D$25+'Assumptions'!$D$26),MIN(H12,IF('Assumptions'!$D$27=1,$D$8/'Assumptions'!$D$26,MAX(0,$D$9-H14))),0))</x:f>
        <x:v>9353057.142857144</x:v>
      </x:c>
      <x:c r="I15" s="46" t="n">
        <x:f>IF(I$6='Assumptions'!$D$25+'Assumptions'!$D$26-1,I12,IF(AND(I$6&gt;='Assumptions'!$D$25,I$6&lt;'Assumptions'!$D$25+'Assumptions'!$D$26),MIN(I12,IF('Assumptions'!$D$27=1,$D$8/'Assumptions'!$D$26,MAX(0,$D$9-I14))),0))</x:f>
        <x:v>9353057.142857144</x:v>
      </x:c>
      <x:c r="J15" s="46" t="n">
        <x:f>IF(J$6='Assumptions'!$D$25+'Assumptions'!$D$26-1,J12,IF(AND(J$6&gt;='Assumptions'!$D$25,J$6&lt;'Assumptions'!$D$25+'Assumptions'!$D$26),MIN(J12,IF('Assumptions'!$D$27=1,$D$8/'Assumptions'!$D$26,MAX(0,$D$9-J14))),0))</x:f>
        <x:v>9353057.142857144</x:v>
      </x:c>
      <x:c r="K15" s="46" t="n">
        <x:f>IF(K$6='Assumptions'!$D$25+'Assumptions'!$D$26-1,K12,IF(AND(K$6&gt;='Assumptions'!$D$25,K$6&lt;'Assumptions'!$D$25+'Assumptions'!$D$26),MIN(K12,IF('Assumptions'!$D$27=1,$D$8/'Assumptions'!$D$26,MAX(0,$D$9-K14))),0))</x:f>
        <x:v>9353057.142857144</x:v>
      </x:c>
      <x:c r="L15" s="46" t="n">
        <x:f>IF(L$6='Assumptions'!$D$25+'Assumptions'!$D$26-1,L12,IF(AND(L$6&gt;='Assumptions'!$D$25,L$6&lt;'Assumptions'!$D$25+'Assumptions'!$D$26),MIN(L12,IF('Assumptions'!$D$27=1,$D$8/'Assumptions'!$D$26,MAX(0,$D$9-L14))),0))</x:f>
        <x:v>9353057.142857144</x:v>
      </x:c>
      <x:c r="M15" s="46" t="n">
        <x:f>IF(M$6='Assumptions'!$D$25+'Assumptions'!$D$26-1,M12,IF(AND(M$6&gt;='Assumptions'!$D$25,M$6&lt;'Assumptions'!$D$25+'Assumptions'!$D$26),MIN(M12,IF('Assumptions'!$D$27=1,$D$8/'Assumptions'!$D$26,MAX(0,$D$9-M14))),0))</x:f>
        <x:v>9353057.142857144</x:v>
      </x:c>
      <x:c r="N15" s="46" t="n">
        <x:f>IF(N$6='Assumptions'!$D$25+'Assumptions'!$D$26-1,N12,IF(AND(N$6&gt;='Assumptions'!$D$25,N$6&lt;'Assumptions'!$D$25+'Assumptions'!$D$26),MIN(N12,IF('Assumptions'!$D$27=1,$D$8/'Assumptions'!$D$26,MAX(0,$D$9-N14))),0))</x:f>
        <x:v>9353057.142857147</x:v>
      </x:c>
    </x:row>
    <x:row r="16" ht="22" customHeight="1">
      <x:c r="A16" s="2"/>
      <x:c r="B16" s="2"/>
      <x:c r="C16" s="2" t="str">
        <x:v>Debt before exit payoff</x:v>
      </x:c>
      <x:c r="D16" s="49" t="n">
        <x:f>MAX(0,SUM(D12:D13)-D15)</x:f>
        <x:v>18217800</x:v>
      </x:c>
      <x:c r="E16" s="49" t="n">
        <x:f>MAX(0,SUM(E12:E13)-E15)</x:f>
        <x:v>35231400</x:v>
      </x:c>
      <x:c r="F16" s="49" t="n">
        <x:f>MAX(0,SUM(F12:F13)-F15)</x:f>
        <x:v>47327400</x:v>
      </x:c>
      <x:c r="G16" s="49" t="n">
        <x:f>MAX(0,SUM(G12:G13)-G15)</x:f>
        <x:v>65471400</x:v>
      </x:c>
      <x:c r="H16" s="49" t="n">
        <x:f>MAX(0,SUM(H12:H13)-H15)</x:f>
        <x:v>56118342.85714286</x:v>
      </x:c>
      <x:c r="I16" s="49" t="n">
        <x:f>MAX(0,SUM(I12:I13)-I15)</x:f>
        <x:v>46765285.71428572</x:v>
      </x:c>
      <x:c r="J16" s="49" t="n">
        <x:f>MAX(0,SUM(J12:J13)-J15)</x:f>
        <x:v>37412228.571428575</x:v>
      </x:c>
      <x:c r="K16" s="49" t="n">
        <x:f>MAX(0,SUM(K12:K13)-K15)</x:f>
        <x:v>28059171.428571433</x:v>
      </x:c>
      <x:c r="L16" s="49" t="n">
        <x:f>MAX(0,SUM(L12:L13)-L15)</x:f>
        <x:v>18706114.28571429</x:v>
      </x:c>
      <x:c r="M16" s="49" t="n">
        <x:f>MAX(0,SUM(M12:M13)-M15)</x:f>
        <x:v>9353057.142857147</x:v>
      </x:c>
      <x:c r="N16" s="49" t="n">
        <x:f>MAX(0,SUM(N12:N13)-N15)</x:f>
        <x:v>0</x:v>
      </x:c>
    </x:row>
    <x:row r="17" ht="22" customHeight="1">
      <x:c r="A17" s="2"/>
      <x:c r="B17" s="2"/>
      <x:c r="C17" s="2" t="str">
        <x:v>Exit debt payoff</x:v>
      </x:c>
      <x:c r="D17" s="46" t="n">
        <x:f>IF(D$6='Assumptions'!$D$10,D16,0)</x:f>
        <x:v>0</x:v>
      </x:c>
      <x:c r="E17" s="46" t="n">
        <x:f>IF(E$6='Assumptions'!$D$10,E16,0)</x:f>
        <x:v>0</x:v>
      </x:c>
      <x:c r="F17" s="46" t="n">
        <x:f>IF(F$6='Assumptions'!$D$10,F16,0)</x:f>
        <x:v>0</x:v>
      </x:c>
      <x:c r="G17" s="46" t="n">
        <x:f>IF(G$6='Assumptions'!$D$10,G16,0)</x:f>
        <x:v>0</x:v>
      </x:c>
      <x:c r="H17" s="46" t="n">
        <x:f>IF(H$6='Assumptions'!$D$10,H16,0)</x:f>
        <x:v>0</x:v>
      </x:c>
      <x:c r="I17" s="46" t="n">
        <x:f>IF(I$6='Assumptions'!$D$10,I16,0)</x:f>
        <x:v>0</x:v>
      </x:c>
      <x:c r="J17" s="46" t="n">
        <x:f>IF(J$6='Assumptions'!$D$10,J16,0)</x:f>
        <x:v>0</x:v>
      </x:c>
      <x:c r="K17" s="46" t="n">
        <x:f>IF(K$6='Assumptions'!$D$10,K16,0)</x:f>
        <x:v>0</x:v>
      </x:c>
      <x:c r="L17" s="46" t="n">
        <x:f>IF(L$6='Assumptions'!$D$10,L16,0)</x:f>
        <x:v>0</x:v>
      </x:c>
      <x:c r="M17" s="46" t="n">
        <x:f>IF(M$6='Assumptions'!$D$10,M16,0)</x:f>
        <x:v>0</x:v>
      </x:c>
      <x:c r="N17" s="46" t="n">
        <x:f>IF(N$6='Assumptions'!$D$10,N16,0)</x:f>
        <x:v>0</x:v>
      </x:c>
    </x:row>
    <x:row r="18" ht="22" customHeight="1">
      <x:c r="A18" s="2"/>
      <x:c r="B18" s="2"/>
      <x:c r="C18" s="37" t="str">
        <x:v>Closing debt</x:v>
      </x:c>
      <x:c r="D18" s="71" t="n">
        <x:f>D16-D17</x:f>
        <x:v>18217800</x:v>
      </x:c>
      <x:c r="E18" s="71" t="n">
        <x:f>E16-E17</x:f>
        <x:v>35231400</x:v>
      </x:c>
      <x:c r="F18" s="71" t="n">
        <x:f>F16-F17</x:f>
        <x:v>47327400</x:v>
      </x:c>
      <x:c r="G18" s="71" t="n">
        <x:f>G16-G17</x:f>
        <x:v>65471400</x:v>
      </x:c>
      <x:c r="H18" s="71" t="n">
        <x:f>H16-H17</x:f>
        <x:v>56118342.85714286</x:v>
      </x:c>
      <x:c r="I18" s="71" t="n">
        <x:f>I16-I17</x:f>
        <x:v>46765285.71428572</x:v>
      </x:c>
      <x:c r="J18" s="71" t="n">
        <x:f>J16-J17</x:f>
        <x:v>37412228.571428575</x:v>
      </x:c>
      <x:c r="K18" s="71" t="n">
        <x:f>K16-K17</x:f>
        <x:v>28059171.428571433</x:v>
      </x:c>
      <x:c r="L18" s="71" t="n">
        <x:f>L16-L17</x:f>
        <x:v>18706114.28571429</x:v>
      </x:c>
      <x:c r="M18" s="71" t="n">
        <x:f>M16-M17</x:f>
        <x:v>9353057.142857147</x:v>
      </x:c>
      <x:c r="N18" s="71" t="n">
        <x:f>N16-N17</x:f>
        <x:v>0</x:v>
      </x:c>
    </x:row>
    <x:row r="19" ht="22" customHeight="1">
      <x:c r="A19" s="2"/>
      <x:c r="B19" s="2"/>
      <x:c r="C19" s="37" t="str">
        <x:v>Scheduled debt service</x:v>
      </x:c>
      <x:c r="D19" s="71" t="n">
        <x:f>SUM(D14:D15)</x:f>
        <x:v>637623.0000000001</x:v>
      </x:c>
      <x:c r="E19" s="71" t="n">
        <x:f>SUM(E14:E15)</x:f>
        <x:v>1870722.0000000002</x:v>
      </x:c>
      <x:c r="F19" s="71" t="n">
        <x:f>SUM(F14:F15)</x:f>
        <x:v>2889558.0000000005</x:v>
      </x:c>
      <x:c r="G19" s="71" t="n">
        <x:f>SUM(G14:G15)</x:f>
        <x:v>3947958.0000000005</x:v>
      </x:c>
      <x:c r="H19" s="71" t="n">
        <x:f>SUM(H14:H15)</x:f>
        <x:v>13936055.142857144</x:v>
      </x:c>
      <x:c r="I19" s="71" t="n">
        <x:f>SUM(I14:I15)</x:f>
        <x:v>13281341.142857144</x:v>
      </x:c>
      <x:c r="J19" s="71" t="n">
        <x:f>SUM(J14:J15)</x:f>
        <x:v>12626627.142857144</x:v>
      </x:c>
      <x:c r="K19" s="71" t="n">
        <x:f>SUM(K14:K15)</x:f>
        <x:v>11971913.142857144</x:v>
      </x:c>
      <x:c r="L19" s="71" t="n">
        <x:f>SUM(L14:L15)</x:f>
        <x:v>11317199.142857144</x:v>
      </x:c>
      <x:c r="M19" s="71" t="n">
        <x:f>SUM(M14:M15)</x:f>
        <x:v>10662485.142857144</x:v>
      </x:c>
      <x:c r="N19" s="71" t="n">
        <x:f>SUM(N14:N15)</x:f>
        <x:v>10007771.142857147</x:v>
      </x:c>
    </x:row>
    <x:row r="20" ht="22" customHeight="1">
      <x:c r="A20" s="2"/>
      <x:c r="B20" s="2"/>
      <x:c r="C20" s="2" t="str">
        <x:v>CFADS</x:v>
      </x:c>
      <x:c r="D20" s="46" t="n">
        <x:f>'Operations'!D57</x:f>
        <x:v>0</x:v>
      </x:c>
      <x:c r="E20" s="46" t="n">
        <x:f>'Operations'!E57</x:f>
        <x:v>0</x:v>
      </x:c>
      <x:c r="F20" s="46" t="n">
        <x:f>'Operations'!F57</x:f>
        <x:v>1585159.999999999</x:v>
      </x:c>
      <x:c r="G20" s="46" t="n">
        <x:f>'Operations'!G57</x:f>
        <x:v>3775661.562499998</x:v>
      </x:c>
      <x:c r="H20" s="46" t="n">
        <x:f>'Operations'!H57</x:f>
        <x:v>7029881.406249996</x:v>
      </x:c>
      <x:c r="I20" s="46" t="n">
        <x:f>'Operations'!I57</x:f>
        <x:v>10466063.221679682</x:v>
      </x:c>
      <x:c r="J20" s="46" t="n">
        <x:f>'Operations'!J57</x:f>
        <x:v>12759040.057495106</x:v>
      </x:c>
      <x:c r="K20" s="46" t="n">
        <x:f>'Operations'!K57</x:f>
        <x:v>14238243.635383897</x:v>
      </x:c>
      <x:c r="L20" s="46" t="n">
        <x:f>'Operations'!L57</x:f>
        <x:v>15285404.863106098</x:v>
      </x:c>
      <x:c r="M20" s="46" t="n">
        <x:f>'Operations'!M57</x:f>
        <x:v>15895298.503870046</x:v>
      </x:c>
      <x:c r="N20" s="46" t="n">
        <x:f>'Operations'!N57</x:f>
        <x:v>16480321.3414668</x:v>
      </x:c>
    </x:row>
    <x:row r="21" ht="22" customHeight="1">
      <x:c r="A21" s="2"/>
      <x:c r="B21" s="2"/>
      <x:c r="C21" s="55" t="str">
        <x:v>DSCR</x:v>
      </x:c>
      <x:c r="D21" s="56" t="str">
        <x:f>IF(AND('Operations'!D46&gt;0,D19&gt;0.00000001),D20/D19,"n.a.")</x:f>
        <x:v>n.a.</x:v>
      </x:c>
      <x:c r="E21" s="56" t="str">
        <x:f>IF(AND('Operations'!E46&gt;0,E19&gt;0.00000001),E20/E19,"n.a.")</x:f>
        <x:v>n.a.</x:v>
      </x:c>
      <x:c r="F21" s="56" t="n">
        <x:f>IF(AND('Operations'!F46&gt;0,F19&gt;0.00000001),F20/F19,"n.a.")</x:f>
        <x:v>0.5485821706987708</x:v>
      </x:c>
      <x:c r="G21" s="56" t="n">
        <x:f>IF(AND('Operations'!G46&gt;0,G19&gt;0.00000001),G20/G19,"n.a.")</x:f>
        <x:v>0.9563580875227137</x:v>
      </x:c>
      <x:c r="H21" s="56" t="n">
        <x:f>IF(AND('Operations'!H46&gt;0,H19&gt;0.00000001),H20/H19,"n.a.")</x:f>
        <x:v>0.5044384034210088</x:v>
      </x:c>
      <x:c r="I21" s="56" t="n">
        <x:f>IF(AND('Operations'!I46&gt;0,I19&gt;0.00000001),I20/I19,"n.a.")</x:f>
        <x:v>0.7880275876588299</x:v>
      </x:c>
      <x:c r="J21" s="56" t="n">
        <x:f>IF(AND('Operations'!J46&gt;0,J19&gt;0.00000001),J20/J19,"n.a.")</x:f>
        <x:v>1.0104868000884042</x:v>
      </x:c>
      <x:c r="K21" s="56" t="n">
        <x:f>IF(AND('Operations'!K46&gt;0,K19&gt;0.00000001),K20/K19,"n.a.")</x:f>
        <x:v>1.1893039538028158</x:v>
      </x:c>
      <x:c r="L21" s="56" t="n">
        <x:f>IF(AND('Operations'!L46&gt;0,L19&gt;0.00000001),L20/L19,"n.a.")</x:f>
        <x:v>1.3506349645489353</x:v>
      </x:c>
      <x:c r="M21" s="56" t="n">
        <x:f>IF(AND('Operations'!M46&gt;0,M19&gt;0.00000001),M20/M19,"n.a.")</x:f>
        <x:v>1.4907686426666107</x:v>
      </x:c>
      <x:c r="N21" s="56" t="n">
        <x:f>IF(AND('Operations'!N46&gt;0,N19&gt;0.00000001),N20/N19,"n.a.")</x:f>
        <x:v>1.6467524193165937</x:v>
      </x:c>
    </x:row>
    <x:row r="22" ht="22" customHeight="1">
      <x:c r="A22" s="2"/>
      <x:c r="B22" s="2"/>
      <x:c r="C22" s="2" t="str">
        <x:v>Covenant test</x:v>
      </x:c>
      <x:c r="D22" s="46" t="str">
        <x:f>IF(ISNUMBER(D21),IF(D21&lt;'Assumptions'!$D$28,"Breach","Pass"),"Not tested")</x:f>
        <x:v>Not tested</x:v>
      </x:c>
      <x:c r="E22" s="46" t="str">
        <x:f>IF(ISNUMBER(E21),IF(E21&lt;'Assumptions'!$D$28,"Breach","Pass"),"Not tested")</x:f>
        <x:v>Not tested</x:v>
      </x:c>
      <x:c r="F22" s="46" t="str">
        <x:f>IF(ISNUMBER(F21),IF(F21&lt;'Assumptions'!$D$28,"Breach","Pass"),"Not tested")</x:f>
        <x:v>Breach</x:v>
      </x:c>
      <x:c r="G22" s="46" t="str">
        <x:f>IF(ISNUMBER(G21),IF(G21&lt;'Assumptions'!$D$28,"Breach","Pass"),"Not tested")</x:f>
        <x:v>Breach</x:v>
      </x:c>
      <x:c r="H22" s="46" t="str">
        <x:f>IF(ISNUMBER(H21),IF(H21&lt;'Assumptions'!$D$28,"Breach","Pass"),"Not tested")</x:f>
        <x:v>Breach</x:v>
      </x:c>
      <x:c r="I22" s="46" t="str">
        <x:f>IF(ISNUMBER(I21),IF(I21&lt;'Assumptions'!$D$28,"Breach","Pass"),"Not tested")</x:f>
        <x:v>Breach</x:v>
      </x:c>
      <x:c r="J22" s="46" t="str">
        <x:f>IF(ISNUMBER(J21),IF(J21&lt;'Assumptions'!$D$28,"Breach","Pass"),"Not tested")</x:f>
        <x:v>Breach</x:v>
      </x:c>
      <x:c r="K22" s="46" t="str">
        <x:f>IF(ISNUMBER(K21),IF(K21&lt;'Assumptions'!$D$28,"Breach","Pass"),"Not tested")</x:f>
        <x:v>Breach</x:v>
      </x:c>
      <x:c r="L22" s="46" t="str">
        <x:f>IF(ISNUMBER(L21),IF(L21&lt;'Assumptions'!$D$28,"Breach","Pass"),"Not tested")</x:f>
        <x:v>Pass</x:v>
      </x:c>
      <x:c r="M22" s="46" t="str">
        <x:f>IF(ISNUMBER(M21),IF(M21&lt;'Assumptions'!$D$28,"Breach","Pass"),"Not tested")</x:f>
        <x:v>Pass</x:v>
      </x:c>
      <x:c r="N22" s="46" t="str">
        <x:f>IF(ISNUMBER(N21),IF(N21&lt;'Assumptions'!$D$28,"Breach","Pass"),"Not tested")</x:f>
        <x:v>Pass</x:v>
      </x:c>
    </x:row>
    <x:row r="23" ht="22" customHeight="1">
      <x:c r="A23" s="2"/>
      <x:c r="B23" s="2"/>
      <x:c r="C23" s="2" t="str">
        <x:v>Operating debt-service shortfall</x:v>
      </x:c>
      <x:c r="D23" s="46" t="n">
        <x:f>IF('Operations'!D46&gt;0,MAX(0,D19-D20),0)</x:f>
        <x:v>0</x:v>
      </x:c>
      <x:c r="E23" s="46" t="n">
        <x:f>IF('Operations'!E46&gt;0,MAX(0,E19-E20),0)</x:f>
        <x:v>0</x:v>
      </x:c>
      <x:c r="F23" s="46" t="n">
        <x:f>IF('Operations'!F46&gt;0,MAX(0,F19-F20),0)</x:f>
        <x:v>1304398.0000000014</x:v>
      </x:c>
      <x:c r="G23" s="46" t="n">
        <x:f>IF('Operations'!G46&gt;0,MAX(0,G19-G20),0)</x:f>
        <x:v>172296.43750000233</x:v>
      </x:c>
      <x:c r="H23" s="46" t="n">
        <x:f>IF('Operations'!H46&gt;0,MAX(0,H19-H20),0)</x:f>
        <x:v>6906173.736607147</x:v>
      </x:c>
      <x:c r="I23" s="46" t="n">
        <x:f>IF('Operations'!I46&gt;0,MAX(0,I19-I20),0)</x:f>
        <x:v>2815277.9211774617</x:v>
      </x:c>
      <x:c r="J23" s="46" t="n">
        <x:f>IF('Operations'!J46&gt;0,MAX(0,J19-J20),0)</x:f>
        <x:v>0</x:v>
      </x:c>
      <x:c r="K23" s="46" t="n">
        <x:f>IF('Operations'!K46&gt;0,MAX(0,K19-K20),0)</x:f>
        <x:v>0</x:v>
      </x:c>
      <x:c r="L23" s="46" t="n">
        <x:f>IF('Operations'!L46&gt;0,MAX(0,L19-L20),0)</x:f>
        <x:v>0</x:v>
      </x:c>
      <x:c r="M23" s="46" t="n">
        <x:f>IF('Operations'!M46&gt;0,MAX(0,M19-M20),0)</x:f>
        <x:v>0</x:v>
      </x:c>
      <x:c r="N23" s="46" t="n">
        <x:f>IF('Operations'!N46&gt;0,MAX(0,N19-N20),0)</x:f>
        <x:v>0</x:v>
      </x:c>
    </x:row>
    <x:row r="24" ht="22" customHeight="1">
      <x:c r="A24" s="2"/>
      <x:c r="B24" s="2"/>
      <x:c r="C24" s="2" t="str">
        <x:v>Financing fee</x:v>
      </x:c>
      <x:c r="D24" s="46" t="n">
        <x:f>IF(D$6=0,$D$8*'Assumptions'!$D$24,0)</x:f>
        <x:v>982071</x:v>
      </x:c>
      <x:c r="E24" s="46" t="n">
        <x:f>IF(E$6=0,$D$8*'Assumptions'!$D$24,0)</x:f>
        <x:v>0</x:v>
      </x:c>
      <x:c r="F24" s="46" t="n">
        <x:f>IF(F$6=0,$D$8*'Assumptions'!$D$24,0)</x:f>
        <x:v>0</x:v>
      </x:c>
      <x:c r="G24" s="46" t="n">
        <x:f>IF(G$6=0,$D$8*'Assumptions'!$D$24,0)</x:f>
        <x:v>0</x:v>
      </x:c>
      <x:c r="H24" s="46" t="n">
        <x:f>IF(H$6=0,$D$8*'Assumptions'!$D$24,0)</x:f>
        <x:v>0</x:v>
      </x:c>
      <x:c r="I24" s="46" t="n">
        <x:f>IF(I$6=0,$D$8*'Assumptions'!$D$24,0)</x:f>
        <x:v>0</x:v>
      </x:c>
      <x:c r="J24" s="46" t="n">
        <x:f>IF(J$6=0,$D$8*'Assumptions'!$D$24,0)</x:f>
        <x:v>0</x:v>
      </x:c>
      <x:c r="K24" s="46" t="n">
        <x:f>IF(K$6=0,$D$8*'Assumptions'!$D$24,0)</x:f>
        <x:v>0</x:v>
      </x:c>
      <x:c r="L24" s="46" t="n">
        <x:f>IF(L$6=0,$D$8*'Assumptions'!$D$24,0)</x:f>
        <x:v>0</x:v>
      </x:c>
      <x:c r="M24" s="46" t="n">
        <x:f>IF(M$6=0,$D$8*'Assumptions'!$D$24,0)</x:f>
        <x:v>0</x:v>
      </x:c>
      <x:c r="N24" s="46" t="n">
        <x:f>IF(N$6=0,$D$8*'Assumptions'!$D$24,0)</x:f>
        <x:v>0</x:v>
      </x:c>
    </x:row>
    <x:row r="25" ht="22" customHeight="1">
      <x:c r="A25" s="2"/>
      <x:c r="B25" s="2"/>
      <x:c r="C25" s="2" t="str">
        <x:v>Covenant breach flag</x:v>
      </x:c>
      <x:c r="D25" s="49" t="n">
        <x:f>IF(D22="Breach",1,0)</x:f>
        <x:v>0</x:v>
      </x:c>
      <x:c r="E25" s="49" t="n">
        <x:f>IF(E22="Breach",1,0)</x:f>
        <x:v>0</x:v>
      </x:c>
      <x:c r="F25" s="49" t="n">
        <x:f>IF(F22="Breach",1,0)</x:f>
        <x:v>1</x:v>
      </x:c>
      <x:c r="G25" s="49" t="n">
        <x:f>IF(G22="Breach",1,0)</x:f>
        <x:v>1</x:v>
      </x:c>
      <x:c r="H25" s="49" t="n">
        <x:f>IF(H22="Breach",1,0)</x:f>
        <x:v>1</x:v>
      </x:c>
      <x:c r="I25" s="49" t="n">
        <x:f>IF(I22="Breach",1,0)</x:f>
        <x:v>1</x:v>
      </x:c>
      <x:c r="J25" s="49" t="n">
        <x:f>IF(J22="Breach",1,0)</x:f>
        <x:v>1</x:v>
      </x:c>
      <x:c r="K25" s="49" t="n">
        <x:f>IF(K22="Breach",1,0)</x:f>
        <x:v>1</x:v>
      </x:c>
      <x:c r="L25" s="49" t="n">
        <x:f>IF(L22="Breach",1,0)</x:f>
        <x:v>0</x:v>
      </x:c>
      <x:c r="M25" s="49" t="n">
        <x:f>IF(M22="Breach",1,0)</x:f>
        <x:v>0</x:v>
      </x:c>
      <x:c r="N25" s="49" t="n">
        <x:f>IF(N22="Breach",1,0)</x:f>
        <x:v>0</x:v>
      </x:c>
    </x:row>
    <x:row r="26" ht="22" customHeight="1">
      <x:c r="A26" s="2"/>
      <x:c r="B26" s="2"/>
      <x:c r="C26" s="2"/>
      <x:c r="D26" s="48"/>
      <x:c r="E26" s="48"/>
      <x:c r="F26" s="48"/>
      <x:c r="G26" s="48"/>
      <x:c r="H26" s="48"/>
      <x:c r="I26" s="48"/>
      <x:c r="J26" s="48"/>
      <x:c r="K26" s="48"/>
      <x:c r="L26" s="48"/>
      <x:c r="M26" s="48"/>
      <x:c r="N26" s="48"/>
    </x:row>
    <x:row r="27" ht="22" customHeight="1">
      <x:c r="A27" s="2"/>
      <x:c r="B27" s="2"/>
      <x:c r="C27" s="2"/>
      <x:c r="D27" s="48"/>
      <x:c r="E27" s="48"/>
      <x:c r="F27" s="48"/>
      <x:c r="G27" s="48"/>
      <x:c r="H27" s="48"/>
      <x:c r="I27" s="48"/>
      <x:c r="J27" s="48"/>
      <x:c r="K27" s="48"/>
      <x:c r="L27" s="48"/>
      <x:c r="M27" s="48"/>
      <x:c r="N27" s="48"/>
    </x:row>
    <x:row r="28" ht="22" customHeight="1">
      <x:c r="A28" s="2"/>
      <x:c r="B28" s="2"/>
      <x:c r="C28" s="2"/>
      <x:c r="D28" s="48"/>
      <x:c r="E28" s="48"/>
      <x:c r="F28" s="48"/>
      <x:c r="G28" s="48"/>
      <x:c r="H28" s="48"/>
      <x:c r="I28" s="48"/>
      <x:c r="J28" s="48"/>
      <x:c r="K28" s="48"/>
      <x:c r="L28" s="48"/>
      <x:c r="M28" s="48"/>
      <x:c r="N28" s="48"/>
    </x:row>
    <x:row r="29" ht="22" customHeight="1">
      <x:c r="A29" s="2"/>
      <x:c r="B29" s="2"/>
      <x:c r="C29" s="2"/>
      <x:c r="D29" s="48"/>
      <x:c r="E29" s="48"/>
      <x:c r="F29" s="48"/>
      <x:c r="G29" s="48"/>
      <x:c r="H29" s="48"/>
      <x:c r="I29" s="48"/>
      <x:c r="J29" s="48"/>
      <x:c r="K29" s="48"/>
      <x:c r="L29" s="48"/>
      <x:c r="M29" s="48"/>
      <x:c r="N29" s="48"/>
    </x:row>
    <x:row r="30" ht="22" customHeight="1">
      <x:c r="A30" s="2"/>
      <x:c r="B30" s="2"/>
      <x:c r="C30" s="2"/>
      <x:c r="D30" s="48"/>
      <x:c r="E30" s="48"/>
      <x:c r="F30" s="48"/>
      <x:c r="G30" s="48"/>
      <x:c r="H30" s="48"/>
      <x:c r="I30" s="48"/>
      <x:c r="J30" s="48"/>
      <x:c r="K30" s="48"/>
      <x:c r="L30" s="48"/>
      <x:c r="M30" s="48"/>
      <x:c r="N30" s="48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conditionalFormatting sqref="D21:N21">
    <x:cfRule type="expression" dxfId="1" priority="1">
      <x:formula>AND(ISNUMBER(D21),D21&lt;'Assumptions'!$D$28)</x:formula>
    </x:cfRule>
  </x:conditionalFormatting>
  <x:conditionalFormatting sqref="D22:N22">
    <x:cfRule type="containsText" dxfId="2" priority="2" operator="containsText" text="Breach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Returns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9" t="str">
        <x:v>Calendar year</x:v>
      </x:c>
      <x:c r="D5" s="10" t="n">
        <x:f>'Assumptions'!$D$9+D6</x:f>
        <x:v>2026</x:v>
      </x:c>
      <x:c r="E5" s="10" t="n">
        <x:f>'Assumptions'!$D$9+E6</x:f>
        <x:v>2027</x:v>
      </x:c>
      <x:c r="F5" s="10" t="n">
        <x:f>'Assumptions'!$D$9+F6</x:f>
        <x:v>2028</x:v>
      </x:c>
      <x:c r="G5" s="10" t="n">
        <x:f>'Assumptions'!$D$9+G6</x:f>
        <x:v>2029</x:v>
      </x:c>
      <x:c r="H5" s="10" t="n">
        <x:f>'Assumptions'!$D$9+H6</x:f>
        <x:v>2030</x:v>
      </x:c>
      <x:c r="I5" s="10" t="n">
        <x:f>'Assumptions'!$D$9+I6</x:f>
        <x:v>2031</x:v>
      </x:c>
      <x:c r="J5" s="10" t="n">
        <x:f>'Assumptions'!$D$9+J6</x:f>
        <x:v>2032</x:v>
      </x:c>
      <x:c r="K5" s="10" t="n">
        <x:f>'Assumptions'!$D$9+K6</x:f>
        <x:v>2033</x:v>
      </x:c>
      <x:c r="L5" s="10" t="n">
        <x:f>'Assumptions'!$D$9+L6</x:f>
        <x:v>2034</x:v>
      </x:c>
      <x:c r="M5" s="10" t="n">
        <x:f>'Assumptions'!$D$9+M6</x:f>
        <x:v>2035</x:v>
      </x:c>
      <x:c r="N5" s="10" t="n">
        <x:f>'Assumptions'!$D$9+N6</x:f>
        <x:v>2036</x:v>
      </x:c>
    </x:row>
    <x:row r="6" ht="22" customHeight="1">
      <x:c r="A6" s="2"/>
      <x:c r="B6" s="2"/>
      <x:c r="C6" s="9" t="str">
        <x:v>Model year</x:v>
      </x:c>
      <x:c r="D6" s="10" t="n">
        <x:f>'Assumptions'!D84</x:f>
        <x:v>0</x:v>
      </x:c>
      <x:c r="E6" s="10" t="n">
        <x:f>'Assumptions'!E84</x:f>
        <x:v>1</x:v>
      </x:c>
      <x:c r="F6" s="10" t="n">
        <x:f>'Assumptions'!F84</x:f>
        <x:v>2</x:v>
      </x:c>
      <x:c r="G6" s="10" t="n">
        <x:f>'Assumptions'!G84</x:f>
        <x:v>3</x:v>
      </x:c>
      <x:c r="H6" s="10" t="n">
        <x:f>'Assumptions'!H84</x:f>
        <x:v>4</x:v>
      </x:c>
      <x:c r="I6" s="10" t="n">
        <x:f>'Assumptions'!I84</x:f>
        <x:v>5</x:v>
      </x:c>
      <x:c r="J6" s="10" t="n">
        <x:f>'Assumptions'!J84</x:f>
        <x:v>6</x:v>
      </x:c>
      <x:c r="K6" s="10" t="n">
        <x:f>'Assumptions'!K84</x:f>
        <x:v>7</x:v>
      </x:c>
      <x:c r="L6" s="10" t="n">
        <x:f>'Assumptions'!L84</x:f>
        <x:v>8</x:v>
      </x:c>
      <x:c r="M6" s="10" t="n">
        <x:f>'Assumptions'!M84</x:f>
        <x:v>9</x:v>
      </x:c>
      <x:c r="N6" s="10" t="n">
        <x:f>'Assumptions'!N84</x:f>
        <x:v>10</x:v>
      </x:c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/>
      <x:c r="B8" s="2"/>
      <x:c r="C8" s="2" t="str">
        <x:v>Unlevered free cash flow</x:v>
      </x:c>
      <x:c r="D8" s="46" t="n">
        <x:f>'Operations'!D58</x:f>
        <x:v>-40484000</x:v>
      </x:c>
      <x:c r="E8" s="46" t="n">
        <x:f>'Operations'!E58</x:f>
        <x:v>-37808000</x:v>
      </x:c>
      <x:c r="F8" s="46" t="n">
        <x:f>'Operations'!F58</x:f>
        <x:v>-25294840</x:v>
      </x:c>
      <x:c r="G8" s="46" t="n">
        <x:f>'Operations'!G58</x:f>
        <x:v>-36544338.4375</x:v>
      </x:c>
      <x:c r="H8" s="46" t="n">
        <x:f>'Operations'!H58</x:f>
        <x:v>7029881.406249996</x:v>
      </x:c>
      <x:c r="I8" s="46" t="n">
        <x:f>'Operations'!I58</x:f>
        <x:v>10466063.221679682</x:v>
      </x:c>
      <x:c r="J8" s="46" t="n">
        <x:f>'Operations'!J58</x:f>
        <x:v>12759040.057495106</x:v>
      </x:c>
      <x:c r="K8" s="46" t="n">
        <x:f>'Operations'!K58</x:f>
        <x:v>14238243.635383897</x:v>
      </x:c>
      <x:c r="L8" s="46" t="n">
        <x:f>'Operations'!L58</x:f>
        <x:v>15285404.863106098</x:v>
      </x:c>
      <x:c r="M8" s="46" t="n">
        <x:f>'Operations'!M58</x:f>
        <x:v>15895298.503870046</x:v>
      </x:c>
      <x:c r="N8" s="46" t="n">
        <x:f>'Operations'!N58</x:f>
        <x:v>16480321.3414668</x:v>
      </x:c>
    </x:row>
    <x:row r="9" ht="22" customHeight="1">
      <x:c r="A9" s="2"/>
      <x:c r="B9" s="2"/>
      <x:c r="C9" s="2" t="str">
        <x:v>Gross exit enterprise value</x:v>
      </x:c>
      <x:c r="D9" s="46" t="n">
        <x:f>IF(D$6='Assumptions'!$D$10,MAX(0,'Operations'!D52)*'Assumptions'!$D$53,0)</x:f>
        <x:v>0</x:v>
      </x:c>
      <x:c r="E9" s="46" t="n">
        <x:f>IF(E$6='Assumptions'!$D$10,MAX(0,'Operations'!E52)*'Assumptions'!$D$53,0)</x:f>
        <x:v>0</x:v>
      </x:c>
      <x:c r="F9" s="46" t="n">
        <x:f>IF(F$6='Assumptions'!$D$10,MAX(0,'Operations'!F52)*'Assumptions'!$D$53,0)</x:f>
        <x:v>0</x:v>
      </x:c>
      <x:c r="G9" s="46" t="n">
        <x:f>IF(G$6='Assumptions'!$D$10,MAX(0,'Operations'!G52)*'Assumptions'!$D$53,0)</x:f>
        <x:v>0</x:v>
      </x:c>
      <x:c r="H9" s="46" t="n">
        <x:f>IF(H$6='Assumptions'!$D$10,MAX(0,'Operations'!H52)*'Assumptions'!$D$53,0)</x:f>
        <x:v>0</x:v>
      </x:c>
      <x:c r="I9" s="46" t="n">
        <x:f>IF(I$6='Assumptions'!$D$10,MAX(0,'Operations'!I52)*'Assumptions'!$D$53,0)</x:f>
        <x:v>0</x:v>
      </x:c>
      <x:c r="J9" s="46" t="n">
        <x:f>IF(J$6='Assumptions'!$D$10,MAX(0,'Operations'!J52)*'Assumptions'!$D$53,0)</x:f>
        <x:v>0</x:v>
      </x:c>
      <x:c r="K9" s="46" t="n">
        <x:f>IF(K$6='Assumptions'!$D$10,MAX(0,'Operations'!K52)*'Assumptions'!$D$53,0)</x:f>
        <x:v>0</x:v>
      </x:c>
      <x:c r="L9" s="46" t="n">
        <x:f>IF(L$6='Assumptions'!$D$10,MAX(0,'Operations'!L52)*'Assumptions'!$D$53,0)</x:f>
        <x:v>0</x:v>
      </x:c>
      <x:c r="M9" s="46" t="n">
        <x:f>IF(M$6='Assumptions'!$D$10,MAX(0,'Operations'!M52)*'Assumptions'!$D$53,0)</x:f>
        <x:v>0</x:v>
      </x:c>
      <x:c r="N9" s="46" t="n">
        <x:f>IF(N$6='Assumptions'!$D$10,MAX(0,'Operations'!N52)*'Assumptions'!$D$53,0)</x:f>
        <x:v>317695212.5082066</x:v>
      </x:c>
    </x:row>
    <x:row r="10" ht="22" customHeight="1">
      <x:c r="A10" s="2"/>
      <x:c r="B10" s="2"/>
      <x:c r="C10" s="2" t="str">
        <x:v>Selling costs</x:v>
      </x:c>
      <x:c r="D10" s="46" t="n">
        <x:f>D9*'Assumptions'!$D$20</x:f>
        <x:v>0</x:v>
      </x:c>
      <x:c r="E10" s="46" t="n">
        <x:f>E9*'Assumptions'!$D$20</x:f>
        <x:v>0</x:v>
      </x:c>
      <x:c r="F10" s="46" t="n">
        <x:f>F9*'Assumptions'!$D$20</x:f>
        <x:v>0</x:v>
      </x:c>
      <x:c r="G10" s="46" t="n">
        <x:f>G9*'Assumptions'!$D$20</x:f>
        <x:v>0</x:v>
      </x:c>
      <x:c r="H10" s="46" t="n">
        <x:f>H9*'Assumptions'!$D$20</x:f>
        <x:v>0</x:v>
      </x:c>
      <x:c r="I10" s="46" t="n">
        <x:f>I9*'Assumptions'!$D$20</x:f>
        <x:v>0</x:v>
      </x:c>
      <x:c r="J10" s="46" t="n">
        <x:f>J9*'Assumptions'!$D$20</x:f>
        <x:v>0</x:v>
      </x:c>
      <x:c r="K10" s="46" t="n">
        <x:f>K9*'Assumptions'!$D$20</x:f>
        <x:v>0</x:v>
      </x:c>
      <x:c r="L10" s="46" t="n">
        <x:f>L9*'Assumptions'!$D$20</x:f>
        <x:v>0</x:v>
      </x:c>
      <x:c r="M10" s="46" t="n">
        <x:f>M9*'Assumptions'!$D$20</x:f>
        <x:v>0</x:v>
      </x:c>
      <x:c r="N10" s="46" t="n">
        <x:f>N9*'Assumptions'!$D$20</x:f>
        <x:v>6353904.250164133</x:v>
      </x:c>
    </x:row>
    <x:row r="11" ht="22" customHeight="1">
      <x:c r="A11" s="2"/>
      <x:c r="B11" s="2"/>
      <x:c r="C11" s="2" t="str">
        <x:v>Net sale proceeds</x:v>
      </x:c>
      <x:c r="D11" s="49" t="n">
        <x:f>D9-D10</x:f>
        <x:v>0</x:v>
      </x:c>
      <x:c r="E11" s="49" t="n">
        <x:f>E9-E10</x:f>
        <x:v>0</x:v>
      </x:c>
      <x:c r="F11" s="49" t="n">
        <x:f>F9-F10</x:f>
        <x:v>0</x:v>
      </x:c>
      <x:c r="G11" s="49" t="n">
        <x:f>G9-G10</x:f>
        <x:v>0</x:v>
      </x:c>
      <x:c r="H11" s="49" t="n">
        <x:f>H9-H10</x:f>
        <x:v>0</x:v>
      </x:c>
      <x:c r="I11" s="49" t="n">
        <x:f>I9-I10</x:f>
        <x:v>0</x:v>
      </x:c>
      <x:c r="J11" s="49" t="n">
        <x:f>J9-J10</x:f>
        <x:v>0</x:v>
      </x:c>
      <x:c r="K11" s="49" t="n">
        <x:f>K9-K10</x:f>
        <x:v>0</x:v>
      </x:c>
      <x:c r="L11" s="49" t="n">
        <x:f>L9-L10</x:f>
        <x:v>0</x:v>
      </x:c>
      <x:c r="M11" s="49" t="n">
        <x:f>M9-M10</x:f>
        <x:v>0</x:v>
      </x:c>
      <x:c r="N11" s="49" t="n">
        <x:f>N9-N10</x:f>
        <x:v>311341308.25804245</x:v>
      </x:c>
    </x:row>
    <x:row r="12" ht="22" customHeight="1">
      <x:c r="A12" s="2"/>
      <x:c r="B12" s="2"/>
      <x:c r="C12" s="2" t="str">
        <x:v>Working capital release</x:v>
      </x:c>
      <x:c r="D12" s="46" t="n">
        <x:f>IF(D$6='Assumptions'!$D$10,'Operations'!D55,0)</x:f>
        <x:v>0</x:v>
      </x:c>
      <x:c r="E12" s="46" t="n">
        <x:f>IF(E$6='Assumptions'!$D$10,'Operations'!E55,0)</x:f>
        <x:v>0</x:v>
      </x:c>
      <x:c r="F12" s="46" t="n">
        <x:f>IF(F$6='Assumptions'!$D$10,'Operations'!F55,0)</x:f>
        <x:v>0</x:v>
      </x:c>
      <x:c r="G12" s="46" t="n">
        <x:f>IF(G$6='Assumptions'!$D$10,'Operations'!G55,0)</x:f>
        <x:v>0</x:v>
      </x:c>
      <x:c r="H12" s="46" t="n">
        <x:f>IF(H$6='Assumptions'!$D$10,'Operations'!H55,0)</x:f>
        <x:v>0</x:v>
      </x:c>
      <x:c r="I12" s="46" t="n">
        <x:f>IF(I$6='Assumptions'!$D$10,'Operations'!I55,0)</x:f>
        <x:v>0</x:v>
      </x:c>
      <x:c r="J12" s="46" t="n">
        <x:f>IF(J$6='Assumptions'!$D$10,'Operations'!J55,0)</x:f>
        <x:v>0</x:v>
      </x:c>
      <x:c r="K12" s="46" t="n">
        <x:f>IF(K$6='Assumptions'!$D$10,'Operations'!K55,0)</x:f>
        <x:v>0</x:v>
      </x:c>
      <x:c r="L12" s="46" t="n">
        <x:f>IF(L$6='Assumptions'!$D$10,'Operations'!L55,0)</x:f>
        <x:v>0</x:v>
      </x:c>
      <x:c r="M12" s="46" t="n">
        <x:f>IF(M$6='Assumptions'!$D$10,'Operations'!M55,0)</x:f>
        <x:v>0</x:v>
      </x:c>
      <x:c r="N12" s="46" t="n">
        <x:f>IF(N$6='Assumptions'!$D$10,'Operations'!N55,0)</x:f>
        <x:v>1601666.7589578808</x:v>
      </x:c>
    </x:row>
    <x:row r="13" ht="22" customHeight="1">
      <x:c r="A13" s="2"/>
      <x:c r="B13" s="2"/>
      <x:c r="C13" s="37" t="str">
        <x:v>Total project cash flow</x:v>
      </x:c>
      <x:c r="D13" s="71" t="n">
        <x:f>SUM(D8,D11:D12)</x:f>
        <x:v>-40484000</x:v>
      </x:c>
      <x:c r="E13" s="71" t="n">
        <x:f>SUM(E8,E11:E12)</x:f>
        <x:v>-37808000</x:v>
      </x:c>
      <x:c r="F13" s="71" t="n">
        <x:f>SUM(F8,F11:F12)</x:f>
        <x:v>-25294840</x:v>
      </x:c>
      <x:c r="G13" s="71" t="n">
        <x:f>SUM(G8,G11:G12)</x:f>
        <x:v>-36544338.4375</x:v>
      </x:c>
      <x:c r="H13" s="71" t="n">
        <x:f>SUM(H8,H11:H12)</x:f>
        <x:v>7029881.406249996</x:v>
      </x:c>
      <x:c r="I13" s="71" t="n">
        <x:f>SUM(I8,I11:I12)</x:f>
        <x:v>10466063.221679682</x:v>
      </x:c>
      <x:c r="J13" s="71" t="n">
        <x:f>SUM(J8,J11:J12)</x:f>
        <x:v>12759040.057495106</x:v>
      </x:c>
      <x:c r="K13" s="71" t="n">
        <x:f>SUM(K8,K11:K12)</x:f>
        <x:v>14238243.635383897</x:v>
      </x:c>
      <x:c r="L13" s="71" t="n">
        <x:f>SUM(L8,L11:L12)</x:f>
        <x:v>15285404.863106098</x:v>
      </x:c>
      <x:c r="M13" s="71" t="n">
        <x:f>SUM(M8,M11:M12)</x:f>
        <x:v>15895298.503870046</x:v>
      </x:c>
      <x:c r="N13" s="71" t="n">
        <x:f>SUM(N8,N11:N12)</x:f>
        <x:v>329423296.3584671</x:v>
      </x:c>
    </x:row>
    <x:row r="14" ht="22" customHeight="1">
      <x:c r="A14" s="2"/>
      <x:c r="B14" s="2"/>
      <x:c r="C14" s="2"/>
      <x:c r="D14" s="48"/>
      <x:c r="E14" s="48"/>
      <x:c r="F14" s="48"/>
      <x:c r="G14" s="48"/>
      <x:c r="H14" s="48"/>
      <x:c r="I14" s="48"/>
      <x:c r="J14" s="48"/>
      <x:c r="K14" s="48"/>
      <x:c r="L14" s="48"/>
      <x:c r="M14" s="48"/>
      <x:c r="N14" s="48"/>
    </x:row>
    <x:row r="15" ht="22" customHeight="1">
      <x:c r="A15" s="2"/>
      <x:c r="B15" s="2"/>
      <x:c r="C15" s="2" t="str">
        <x:v>Construction debt draw</x:v>
      </x:c>
      <x:c r="D15" s="46" t="n">
        <x:f>'Debt'!D13</x:f>
        <x:v>18217800</x:v>
      </x:c>
      <x:c r="E15" s="46" t="n">
        <x:f>'Debt'!E13</x:f>
        <x:v>17013600</x:v>
      </x:c>
      <x:c r="F15" s="46" t="n">
        <x:f>'Debt'!F13</x:f>
        <x:v>12096000</x:v>
      </x:c>
      <x:c r="G15" s="46" t="n">
        <x:f>'Debt'!G13</x:f>
        <x:v>18144000</x:v>
      </x:c>
      <x:c r="H15" s="46" t="n">
        <x:f>'Debt'!H13</x:f>
        <x:v>0</x:v>
      </x:c>
      <x:c r="I15" s="46" t="n">
        <x:f>'Debt'!I13</x:f>
        <x:v>0</x:v>
      </x:c>
      <x:c r="J15" s="46" t="n">
        <x:f>'Debt'!J13</x:f>
        <x:v>0</x:v>
      </x:c>
      <x:c r="K15" s="46" t="n">
        <x:f>'Debt'!K13</x:f>
        <x:v>0</x:v>
      </x:c>
      <x:c r="L15" s="46" t="n">
        <x:f>'Debt'!L13</x:f>
        <x:v>0</x:v>
      </x:c>
      <x:c r="M15" s="46" t="n">
        <x:f>'Debt'!M13</x:f>
        <x:v>0</x:v>
      </x:c>
      <x:c r="N15" s="46" t="n">
        <x:f>'Debt'!N13</x:f>
        <x:v>0</x:v>
      </x:c>
    </x:row>
    <x:row r="16" ht="22" customHeight="1">
      <x:c r="A16" s="2"/>
      <x:c r="B16" s="2"/>
      <x:c r="C16" s="2" t="str">
        <x:v>Cash interest</x:v>
      </x:c>
      <x:c r="D16" s="46" t="n">
        <x:f>'Debt'!D14</x:f>
        <x:v>637623.0000000001</x:v>
      </x:c>
      <x:c r="E16" s="46" t="n">
        <x:f>'Debt'!E14</x:f>
        <x:v>1870722.0000000002</x:v>
      </x:c>
      <x:c r="F16" s="46" t="n">
        <x:f>'Debt'!F14</x:f>
        <x:v>2889558.0000000005</x:v>
      </x:c>
      <x:c r="G16" s="46" t="n">
        <x:f>'Debt'!G14</x:f>
        <x:v>3947958.0000000005</x:v>
      </x:c>
      <x:c r="H16" s="46" t="n">
        <x:f>'Debt'!H14</x:f>
        <x:v>4582998</x:v>
      </x:c>
      <x:c r="I16" s="46" t="n">
        <x:f>'Debt'!I14</x:f>
        <x:v>3928284.0000000005</x:v>
      </x:c>
      <x:c r="J16" s="46" t="n">
        <x:f>'Debt'!J14</x:f>
        <x:v>3273570.0000000005</x:v>
      </x:c>
      <x:c r="K16" s="46" t="n">
        <x:f>'Debt'!K14</x:f>
        <x:v>2618856.0000000005</x:v>
      </x:c>
      <x:c r="L16" s="46" t="n">
        <x:f>'Debt'!L14</x:f>
        <x:v>1964142.0000000005</x:v>
      </x:c>
      <x:c r="M16" s="46" t="n">
        <x:f>'Debt'!M14</x:f>
        <x:v>1309428.0000000005</x:v>
      </x:c>
      <x:c r="N16" s="46" t="n">
        <x:f>'Debt'!N14</x:f>
        <x:v>654714.0000000003</x:v>
      </x:c>
    </x:row>
    <x:row r="17" ht="22" customHeight="1">
      <x:c r="A17" s="2"/>
      <x:c r="B17" s="2"/>
      <x:c r="C17" s="2" t="str">
        <x:v>Scheduled principal</x:v>
      </x:c>
      <x:c r="D17" s="46" t="n">
        <x:f>'Debt'!D15</x:f>
        <x:v>0</x:v>
      </x:c>
      <x:c r="E17" s="46" t="n">
        <x:f>'Debt'!E15</x:f>
        <x:v>0</x:v>
      </x:c>
      <x:c r="F17" s="46" t="n">
        <x:f>'Debt'!F15</x:f>
        <x:v>0</x:v>
      </x:c>
      <x:c r="G17" s="46" t="n">
        <x:f>'Debt'!G15</x:f>
        <x:v>0</x:v>
      </x:c>
      <x:c r="H17" s="46" t="n">
        <x:f>'Debt'!H15</x:f>
        <x:v>9353057.142857144</x:v>
      </x:c>
      <x:c r="I17" s="46" t="n">
        <x:f>'Debt'!I15</x:f>
        <x:v>9353057.142857144</x:v>
      </x:c>
      <x:c r="J17" s="46" t="n">
        <x:f>'Debt'!J15</x:f>
        <x:v>9353057.142857144</x:v>
      </x:c>
      <x:c r="K17" s="46" t="n">
        <x:f>'Debt'!K15</x:f>
        <x:v>9353057.142857144</x:v>
      </x:c>
      <x:c r="L17" s="46" t="n">
        <x:f>'Debt'!L15</x:f>
        <x:v>9353057.142857144</x:v>
      </x:c>
      <x:c r="M17" s="46" t="n">
        <x:f>'Debt'!M15</x:f>
        <x:v>9353057.142857144</x:v>
      </x:c>
      <x:c r="N17" s="46" t="n">
        <x:f>'Debt'!N15</x:f>
        <x:v>9353057.142857147</x:v>
      </x:c>
    </x:row>
    <x:row r="18" ht="22" customHeight="1">
      <x:c r="A18" s="2"/>
      <x:c r="B18" s="2"/>
      <x:c r="C18" s="2" t="str">
        <x:v>Exit debt payoff</x:v>
      </x:c>
      <x:c r="D18" s="46" t="n">
        <x:f>'Debt'!D17</x:f>
        <x:v>0</x:v>
      </x:c>
      <x:c r="E18" s="46" t="n">
        <x:f>'Debt'!E17</x:f>
        <x:v>0</x:v>
      </x:c>
      <x:c r="F18" s="46" t="n">
        <x:f>'Debt'!F17</x:f>
        <x:v>0</x:v>
      </x:c>
      <x:c r="G18" s="46" t="n">
        <x:f>'Debt'!G17</x:f>
        <x:v>0</x:v>
      </x:c>
      <x:c r="H18" s="46" t="n">
        <x:f>'Debt'!H17</x:f>
        <x:v>0</x:v>
      </x:c>
      <x:c r="I18" s="46" t="n">
        <x:f>'Debt'!I17</x:f>
        <x:v>0</x:v>
      </x:c>
      <x:c r="J18" s="46" t="n">
        <x:f>'Debt'!J17</x:f>
        <x:v>0</x:v>
      </x:c>
      <x:c r="K18" s="46" t="n">
        <x:f>'Debt'!K17</x:f>
        <x:v>0</x:v>
      </x:c>
      <x:c r="L18" s="46" t="n">
        <x:f>'Debt'!L17</x:f>
        <x:v>0</x:v>
      </x:c>
      <x:c r="M18" s="46" t="n">
        <x:f>'Debt'!M17</x:f>
        <x:v>0</x:v>
      </x:c>
      <x:c r="N18" s="46" t="n">
        <x:f>'Debt'!N17</x:f>
        <x:v>0</x:v>
      </x:c>
    </x:row>
    <x:row r="19" ht="22" customHeight="1">
      <x:c r="A19" s="2"/>
      <x:c r="B19" s="2"/>
      <x:c r="C19" s="2" t="str">
        <x:v>Financing fee</x:v>
      </x:c>
      <x:c r="D19" s="46" t="n">
        <x:f>'Debt'!D24</x:f>
        <x:v>982071</x:v>
      </x:c>
      <x:c r="E19" s="46" t="n">
        <x:f>'Debt'!E24</x:f>
        <x:v>0</x:v>
      </x:c>
      <x:c r="F19" s="46" t="n">
        <x:f>'Debt'!F24</x:f>
        <x:v>0</x:v>
      </x:c>
      <x:c r="G19" s="46" t="n">
        <x:f>'Debt'!G24</x:f>
        <x:v>0</x:v>
      </x:c>
      <x:c r="H19" s="46" t="n">
        <x:f>'Debt'!H24</x:f>
        <x:v>0</x:v>
      </x:c>
      <x:c r="I19" s="46" t="n">
        <x:f>'Debt'!I24</x:f>
        <x:v>0</x:v>
      </x:c>
      <x:c r="J19" s="46" t="n">
        <x:f>'Debt'!J24</x:f>
        <x:v>0</x:v>
      </x:c>
      <x:c r="K19" s="46" t="n">
        <x:f>'Debt'!K24</x:f>
        <x:v>0</x:v>
      </x:c>
      <x:c r="L19" s="46" t="n">
        <x:f>'Debt'!L24</x:f>
        <x:v>0</x:v>
      </x:c>
      <x:c r="M19" s="46" t="n">
        <x:f>'Debt'!M24</x:f>
        <x:v>0</x:v>
      </x:c>
      <x:c r="N19" s="46" t="n">
        <x:f>'Debt'!N24</x:f>
        <x:v>0</x:v>
      </x:c>
    </x:row>
    <x:row r="20" ht="22" customHeight="1">
      <x:c r="A20" s="2"/>
      <x:c r="B20" s="2"/>
      <x:c r="C20" s="37" t="str">
        <x:v>Net equity cash flow</x:v>
      </x:c>
      <x:c r="D20" s="71" t="n">
        <x:f>SUM(D13,D15)-SUM(D16:D19)</x:f>
        <x:v>-23885894</x:v>
      </x:c>
      <x:c r="E20" s="71" t="n">
        <x:f>SUM(E13,E15)-SUM(E16:E19)</x:f>
        <x:v>-22665122</x:v>
      </x:c>
      <x:c r="F20" s="71" t="n">
        <x:f>SUM(F13,F15)-SUM(F16:F19)</x:f>
        <x:v>-16088398</x:v>
      </x:c>
      <x:c r="G20" s="71" t="n">
        <x:f>SUM(G13,G15)-SUM(G16:G19)</x:f>
        <x:v>-22348296.4375</x:v>
      </x:c>
      <x:c r="H20" s="71" t="n">
        <x:f>SUM(H13,H15)-SUM(H16:H19)</x:f>
        <x:v>-6906173.736607147</x:v>
      </x:c>
      <x:c r="I20" s="71" t="n">
        <x:f>SUM(I13,I15)-SUM(I16:I19)</x:f>
        <x:v>-2815277.9211774617</x:v>
      </x:c>
      <x:c r="J20" s="71" t="n">
        <x:f>SUM(J13,J15)-SUM(J16:J19)</x:f>
        <x:v>132412.91463796236</x:v>
      </x:c>
      <x:c r="K20" s="71" t="n">
        <x:f>SUM(K13,K15)-SUM(K16:K19)</x:f>
        <x:v>2266330.492526753</x:v>
      </x:c>
      <x:c r="L20" s="71" t="n">
        <x:f>SUM(L13,L15)-SUM(L16:L19)</x:f>
        <x:v>3968205.7202489544</x:v>
      </x:c>
      <x:c r="M20" s="71" t="n">
        <x:f>SUM(M13,M15)-SUM(M16:M19)</x:f>
        <x:v>5232813.361012902</x:v>
      </x:c>
      <x:c r="N20" s="71" t="n">
        <x:f>SUM(N13,N15)-SUM(N16:N19)</x:f>
        <x:v>319415525.21560997</x:v>
      </x:c>
    </x:row>
    <x:row r="21" ht="22" customHeight="1">
      <x:c r="A21" s="2"/>
      <x:c r="B21" s="2"/>
      <x:c r="C21" s="2" t="str">
        <x:v>Equity contributions</x:v>
      </x:c>
      <x:c r="D21" s="49" t="n">
        <x:f>MAX(0,-D20)</x:f>
        <x:v>23885894</x:v>
      </x:c>
      <x:c r="E21" s="49" t="n">
        <x:f>MAX(0,-E20)</x:f>
        <x:v>22665122</x:v>
      </x:c>
      <x:c r="F21" s="49" t="n">
        <x:f>MAX(0,-F20)</x:f>
        <x:v>16088398</x:v>
      </x:c>
      <x:c r="G21" s="49" t="n">
        <x:f>MAX(0,-G20)</x:f>
        <x:v>22348296.4375</x:v>
      </x:c>
      <x:c r="H21" s="49" t="n">
        <x:f>MAX(0,-H20)</x:f>
        <x:v>6906173.736607147</x:v>
      </x:c>
      <x:c r="I21" s="49" t="n">
        <x:f>MAX(0,-I20)</x:f>
        <x:v>2815277.9211774617</x:v>
      </x:c>
      <x:c r="J21" s="49" t="n">
        <x:f>MAX(0,-J20)</x:f>
        <x:v>0</x:v>
      </x:c>
      <x:c r="K21" s="49" t="n">
        <x:f>MAX(0,-K20)</x:f>
        <x:v>0</x:v>
      </x:c>
      <x:c r="L21" s="49" t="n">
        <x:f>MAX(0,-L20)</x:f>
        <x:v>0</x:v>
      </x:c>
      <x:c r="M21" s="49" t="n">
        <x:f>MAX(0,-M20)</x:f>
        <x:v>0</x:v>
      </x:c>
      <x:c r="N21" s="49" t="n">
        <x:f>MAX(0,-N20)</x:f>
        <x:v>0</x:v>
      </x:c>
    </x:row>
    <x:row r="22" ht="22" customHeight="1">
      <x:c r="A22" s="2"/>
      <x:c r="B22" s="2"/>
      <x:c r="C22" s="2" t="str">
        <x:v>Equity distributions</x:v>
      </x:c>
      <x:c r="D22" s="49" t="n">
        <x:f>MAX(0,D20)</x:f>
        <x:v>0</x:v>
      </x:c>
      <x:c r="E22" s="49" t="n">
        <x:f>MAX(0,E20)</x:f>
        <x:v>0</x:v>
      </x:c>
      <x:c r="F22" s="49" t="n">
        <x:f>MAX(0,F20)</x:f>
        <x:v>0</x:v>
      </x:c>
      <x:c r="G22" s="49" t="n">
        <x:f>MAX(0,G20)</x:f>
        <x:v>0</x:v>
      </x:c>
      <x:c r="H22" s="49" t="n">
        <x:f>MAX(0,H20)</x:f>
        <x:v>0</x:v>
      </x:c>
      <x:c r="I22" s="49" t="n">
        <x:f>MAX(0,I20)</x:f>
        <x:v>0</x:v>
      </x:c>
      <x:c r="J22" s="49" t="n">
        <x:f>MAX(0,J20)</x:f>
        <x:v>132412.91463796236</x:v>
      </x:c>
      <x:c r="K22" s="49" t="n">
        <x:f>MAX(0,K20)</x:f>
        <x:v>2266330.492526753</x:v>
      </x:c>
      <x:c r="L22" s="49" t="n">
        <x:f>MAX(0,L20)</x:f>
        <x:v>3968205.7202489544</x:v>
      </x:c>
      <x:c r="M22" s="49" t="n">
        <x:f>MAX(0,M20)</x:f>
        <x:v>5232813.361012902</x:v>
      </x:c>
      <x:c r="N22" s="49" t="n">
        <x:f>MAX(0,N20)</x:f>
        <x:v>319415525.21560997</x:v>
      </x:c>
    </x:row>
    <x:row r="23" ht="22" customHeight="1">
      <x:c r="A23" s="2"/>
      <x:c r="B23" s="2"/>
      <x:c r="C23" s="37" t="str">
        <x:v>Cumulative equity cash flow</x:v>
      </x:c>
      <x:c r="D23" s="71" t="n">
        <x:f>SUM($D20:D20)</x:f>
        <x:v>-23885894</x:v>
      </x:c>
      <x:c r="E23" s="71" t="n">
        <x:f>SUM($D20:E20)</x:f>
        <x:v>-46551016</x:v>
      </x:c>
      <x:c r="F23" s="71" t="n">
        <x:f>SUM($D20:F20)</x:f>
        <x:v>-62639414</x:v>
      </x:c>
      <x:c r="G23" s="71" t="n">
        <x:f>SUM($D20:G20)</x:f>
        <x:v>-84987710.4375</x:v>
      </x:c>
      <x:c r="H23" s="71" t="n">
        <x:f>SUM($D20:H20)</x:f>
        <x:v>-91893884.17410715</x:v>
      </x:c>
      <x:c r="I23" s="71" t="n">
        <x:f>SUM($D20:I20)</x:f>
        <x:v>-94709162.09528461</x:v>
      </x:c>
      <x:c r="J23" s="71" t="n">
        <x:f>SUM($D20:J20)</x:f>
        <x:v>-94576749.18064664</x:v>
      </x:c>
      <x:c r="K23" s="71" t="n">
        <x:f>SUM($D20:K20)</x:f>
        <x:v>-92310418.68811989</x:v>
      </x:c>
      <x:c r="L23" s="71" t="n">
        <x:f>SUM($D20:L20)</x:f>
        <x:v>-88342212.96787094</x:v>
      </x:c>
      <x:c r="M23" s="71" t="n">
        <x:f>SUM($D20:M20)</x:f>
        <x:v>-83109399.60685803</x:v>
      </x:c>
      <x:c r="N23" s="71" t="n">
        <x:f>SUM($D20:N20)</x:f>
        <x:v>236306125.60875195</x:v>
      </x:c>
    </x:row>
    <x:row r="24" ht="22" customHeight="1">
      <x:c r="A24" s="2"/>
      <x:c r="B24" s="2"/>
      <x:c r="C24" s="2" t="str">
        <x:v>Project net investment</x:v>
      </x:c>
      <x:c r="D24" s="49" t="n">
        <x:f>MAX(0,-D13)</x:f>
        <x:v>40484000</x:v>
      </x:c>
      <x:c r="E24" s="49" t="n">
        <x:f>MAX(0,-E13)</x:f>
        <x:v>37808000</x:v>
      </x:c>
      <x:c r="F24" s="49" t="n">
        <x:f>MAX(0,-F13)</x:f>
        <x:v>25294840</x:v>
      </x:c>
      <x:c r="G24" s="49" t="n">
        <x:f>MAX(0,-G13)</x:f>
        <x:v>36544338.4375</x:v>
      </x:c>
      <x:c r="H24" s="49" t="n">
        <x:f>MAX(0,-H13)</x:f>
        <x:v>0</x:v>
      </x:c>
      <x:c r="I24" s="49" t="n">
        <x:f>MAX(0,-I13)</x:f>
        <x:v>0</x:v>
      </x:c>
      <x:c r="J24" s="49" t="n">
        <x:f>MAX(0,-J13)</x:f>
        <x:v>0</x:v>
      </x:c>
      <x:c r="K24" s="49" t="n">
        <x:f>MAX(0,-K13)</x:f>
        <x:v>0</x:v>
      </x:c>
      <x:c r="L24" s="49" t="n">
        <x:f>MAX(0,-L13)</x:f>
        <x:v>0</x:v>
      </x:c>
      <x:c r="M24" s="49" t="n">
        <x:f>MAX(0,-M13)</x:f>
        <x:v>0</x:v>
      </x:c>
      <x:c r="N24" s="49" t="n">
        <x:f>MAX(0,-N13)</x:f>
        <x:v>0</x:v>
      </x:c>
    </x:row>
    <x:row r="25" ht="22" customHeight="1">
      <x:c r="A25" s="2"/>
      <x:c r="B25" s="2"/>
      <x:c r="C25" s="2" t="str">
        <x:v>Project net realization</x:v>
      </x:c>
      <x:c r="D25" s="49" t="n">
        <x:f>MAX(0,D13)</x:f>
        <x:v>0</x:v>
      </x:c>
      <x:c r="E25" s="49" t="n">
        <x:f>MAX(0,E13)</x:f>
        <x:v>0</x:v>
      </x:c>
      <x:c r="F25" s="49" t="n">
        <x:f>MAX(0,F13)</x:f>
        <x:v>0</x:v>
      </x:c>
      <x:c r="G25" s="49" t="n">
        <x:f>MAX(0,G13)</x:f>
        <x:v>0</x:v>
      </x:c>
      <x:c r="H25" s="49" t="n">
        <x:f>MAX(0,H13)</x:f>
        <x:v>7029881.406249996</x:v>
      </x:c>
      <x:c r="I25" s="49" t="n">
        <x:f>MAX(0,I13)</x:f>
        <x:v>10466063.221679682</x:v>
      </x:c>
      <x:c r="J25" s="49" t="n">
        <x:f>MAX(0,J13)</x:f>
        <x:v>12759040.057495106</x:v>
      </x:c>
      <x:c r="K25" s="49" t="n">
        <x:f>MAX(0,K13)</x:f>
        <x:v>14238243.635383897</x:v>
      </x:c>
      <x:c r="L25" s="49" t="n">
        <x:f>MAX(0,L13)</x:f>
        <x:v>15285404.863106098</x:v>
      </x:c>
      <x:c r="M25" s="49" t="n">
        <x:f>MAX(0,M13)</x:f>
        <x:v>15895298.503870046</x:v>
      </x:c>
      <x:c r="N25" s="49" t="n">
        <x:f>MAX(0,N13)</x:f>
        <x:v>329423296.3584671</x:v>
      </x:c>
    </x:row>
    <x:row r="26" ht="22" customHeight="1">
      <x:c r="A26" s="2"/>
      <x:c r="B26" s="2"/>
      <x:c r="C26" s="2"/>
      <x:c r="D26" s="48"/>
      <x:c r="E26" s="48"/>
      <x:c r="F26" s="48"/>
      <x:c r="G26" s="48"/>
      <x:c r="H26" s="48"/>
      <x:c r="I26" s="48"/>
      <x:c r="J26" s="48"/>
      <x:c r="K26" s="48"/>
      <x:c r="L26" s="48"/>
      <x:c r="M26" s="48"/>
      <x:c r="N26" s="48"/>
    </x:row>
    <x:row r="27" ht="22" customHeight="1">
      <x:c r="A27" s="2"/>
      <x:c r="B27" s="2"/>
      <x:c r="C27" s="2" t="str">
        <x:v>Equity nonzero sign</x:v>
      </x:c>
      <x:c r="D27" s="49" t="n">
        <x:f>IF(D20=0,0,SIGN(D20))</x:f>
        <x:v>-1</x:v>
      </x:c>
      <x:c r="E27" s="49" t="n">
        <x:f>IF(E20=0,D27,SIGN(E20))</x:f>
        <x:v>-1</x:v>
      </x:c>
      <x:c r="F27" s="49" t="n">
        <x:f>IF(F20=0,E27,SIGN(F20))</x:f>
        <x:v>-1</x:v>
      </x:c>
      <x:c r="G27" s="49" t="n">
        <x:f>IF(G20=0,F27,SIGN(G20))</x:f>
        <x:v>-1</x:v>
      </x:c>
      <x:c r="H27" s="49" t="n">
        <x:f>IF(H20=0,G27,SIGN(H20))</x:f>
        <x:v>-1</x:v>
      </x:c>
      <x:c r="I27" s="49" t="n">
        <x:f>IF(I20=0,H27,SIGN(I20))</x:f>
        <x:v>-1</x:v>
      </x:c>
      <x:c r="J27" s="49" t="n">
        <x:f>IF(J20=0,I27,SIGN(J20))</x:f>
        <x:v>1</x:v>
      </x:c>
      <x:c r="K27" s="49" t="n">
        <x:f>IF(K20=0,J27,SIGN(K20))</x:f>
        <x:v>1</x:v>
      </x:c>
      <x:c r="L27" s="49" t="n">
        <x:f>IF(L20=0,K27,SIGN(L20))</x:f>
        <x:v>1</x:v>
      </x:c>
      <x:c r="M27" s="49" t="n">
        <x:f>IF(M20=0,L27,SIGN(M20))</x:f>
        <x:v>1</x:v>
      </x:c>
      <x:c r="N27" s="49" t="n">
        <x:f>IF(N20=0,M27,SIGN(N20))</x:f>
        <x:v>1</x:v>
      </x:c>
    </x:row>
    <x:row r="28" ht="22" customHeight="1">
      <x:c r="A28" s="2"/>
      <x:c r="B28" s="2"/>
      <x:c r="C28" s="2" t="str">
        <x:v>Equity sign changes</x:v>
      </x:c>
      <x:c r="D28" s="49" t="n">
        <x:f>0</x:f>
        <x:v>0</x:v>
      </x:c>
      <x:c r="E28" s="49" t="n">
        <x:f>IF(AND(D27&lt;&gt;0,E27&lt;&gt;0,D27&lt;&gt;E27),1,0)</x:f>
        <x:v>0</x:v>
      </x:c>
      <x:c r="F28" s="49" t="n">
        <x:f>IF(AND(E27&lt;&gt;0,F27&lt;&gt;0,E27&lt;&gt;F27),1,0)</x:f>
        <x:v>0</x:v>
      </x:c>
      <x:c r="G28" s="49" t="n">
        <x:f>IF(AND(F27&lt;&gt;0,G27&lt;&gt;0,F27&lt;&gt;G27),1,0)</x:f>
        <x:v>0</x:v>
      </x:c>
      <x:c r="H28" s="49" t="n">
        <x:f>IF(AND(G27&lt;&gt;0,H27&lt;&gt;0,G27&lt;&gt;H27),1,0)</x:f>
        <x:v>0</x:v>
      </x:c>
      <x:c r="I28" s="49" t="n">
        <x:f>IF(AND(H27&lt;&gt;0,I27&lt;&gt;0,H27&lt;&gt;I27),1,0)</x:f>
        <x:v>0</x:v>
      </x:c>
      <x:c r="J28" s="49" t="n">
        <x:f>IF(AND(I27&lt;&gt;0,J27&lt;&gt;0,I27&lt;&gt;J27),1,0)</x:f>
        <x:v>1</x:v>
      </x:c>
      <x:c r="K28" s="49" t="n">
        <x:f>IF(AND(J27&lt;&gt;0,K27&lt;&gt;0,J27&lt;&gt;K27),1,0)</x:f>
        <x:v>0</x:v>
      </x:c>
      <x:c r="L28" s="49" t="n">
        <x:f>IF(AND(K27&lt;&gt;0,L27&lt;&gt;0,K27&lt;&gt;L27),1,0)</x:f>
        <x:v>0</x:v>
      </x:c>
      <x:c r="M28" s="49" t="n">
        <x:f>IF(AND(L27&lt;&gt;0,M27&lt;&gt;0,L27&lt;&gt;M27),1,0)</x:f>
        <x:v>0</x:v>
      </x:c>
      <x:c r="N28" s="49" t="n">
        <x:f>IF(AND(M27&lt;&gt;0,N27&lt;&gt;0,M27&lt;&gt;N27),1,0)</x:f>
        <x:v>0</x:v>
      </x:c>
    </x:row>
    <x:row r="29" ht="22" customHeight="1">
      <x:c r="A29" s="2"/>
      <x:c r="B29" s="2"/>
      <x:c r="C29" s="2" t="str">
        <x:v>Project nonzero sign</x:v>
      </x:c>
      <x:c r="D29" s="49" t="n">
        <x:f>IF(D13=0,0,SIGN(D13))</x:f>
        <x:v>-1</x:v>
      </x:c>
      <x:c r="E29" s="49" t="n">
        <x:f>IF(E13=0,D29,SIGN(E13))</x:f>
        <x:v>-1</x:v>
      </x:c>
      <x:c r="F29" s="49" t="n">
        <x:f>IF(F13=0,E29,SIGN(F13))</x:f>
        <x:v>-1</x:v>
      </x:c>
      <x:c r="G29" s="49" t="n">
        <x:f>IF(G13=0,F29,SIGN(G13))</x:f>
        <x:v>-1</x:v>
      </x:c>
      <x:c r="H29" s="49" t="n">
        <x:f>IF(H13=0,G29,SIGN(H13))</x:f>
        <x:v>1</x:v>
      </x:c>
      <x:c r="I29" s="49" t="n">
        <x:f>IF(I13=0,H29,SIGN(I13))</x:f>
        <x:v>1</x:v>
      </x:c>
      <x:c r="J29" s="49" t="n">
        <x:f>IF(J13=0,I29,SIGN(J13))</x:f>
        <x:v>1</x:v>
      </x:c>
      <x:c r="K29" s="49" t="n">
        <x:f>IF(K13=0,J29,SIGN(K13))</x:f>
        <x:v>1</x:v>
      </x:c>
      <x:c r="L29" s="49" t="n">
        <x:f>IF(L13=0,K29,SIGN(L13))</x:f>
        <x:v>1</x:v>
      </x:c>
      <x:c r="M29" s="49" t="n">
        <x:f>IF(M13=0,L29,SIGN(M13))</x:f>
        <x:v>1</x:v>
      </x:c>
      <x:c r="N29" s="49" t="n">
        <x:f>IF(N13=0,M29,SIGN(N13))</x:f>
        <x:v>1</x:v>
      </x:c>
    </x:row>
    <x:row r="30" ht="22" customHeight="1">
      <x:c r="A30" s="2"/>
      <x:c r="B30" s="2"/>
      <x:c r="C30" s="2" t="str">
        <x:v>Project sign changes</x:v>
      </x:c>
      <x:c r="D30" s="49" t="n">
        <x:f>0</x:f>
        <x:v>0</x:v>
      </x:c>
      <x:c r="E30" s="49" t="n">
        <x:f>IF(AND(D29&lt;&gt;0,E29&lt;&gt;0,D29&lt;&gt;E29),1,0)</x:f>
        <x:v>0</x:v>
      </x:c>
      <x:c r="F30" s="49" t="n">
        <x:f>IF(AND(E29&lt;&gt;0,F29&lt;&gt;0,E29&lt;&gt;F29),1,0)</x:f>
        <x:v>0</x:v>
      </x:c>
      <x:c r="G30" s="49" t="n">
        <x:f>IF(AND(F29&lt;&gt;0,G29&lt;&gt;0,F29&lt;&gt;G29),1,0)</x:f>
        <x:v>0</x:v>
      </x:c>
      <x:c r="H30" s="49" t="n">
        <x:f>IF(AND(G29&lt;&gt;0,H29&lt;&gt;0,G29&lt;&gt;H29),1,0)</x:f>
        <x:v>1</x:v>
      </x:c>
      <x:c r="I30" s="49" t="n">
        <x:f>IF(AND(H29&lt;&gt;0,I29&lt;&gt;0,H29&lt;&gt;I29),1,0)</x:f>
        <x:v>0</x:v>
      </x:c>
      <x:c r="J30" s="49" t="n">
        <x:f>IF(AND(I29&lt;&gt;0,J29&lt;&gt;0,I29&lt;&gt;J29),1,0)</x:f>
        <x:v>0</x:v>
      </x:c>
      <x:c r="K30" s="49" t="n">
        <x:f>IF(AND(J29&lt;&gt;0,K29&lt;&gt;0,J29&lt;&gt;K29),1,0)</x:f>
        <x:v>0</x:v>
      </x:c>
      <x:c r="L30" s="49" t="n">
        <x:f>IF(AND(K29&lt;&gt;0,L29&lt;&gt;0,K29&lt;&gt;L29),1,0)</x:f>
        <x:v>0</x:v>
      </x:c>
      <x:c r="M30" s="49" t="n">
        <x:f>IF(AND(L29&lt;&gt;0,M29&lt;&gt;0,L29&lt;&gt;M29),1,0)</x:f>
        <x:v>0</x:v>
      </x:c>
      <x:c r="N30" s="49" t="n">
        <x:f>IF(AND(M29&lt;&gt;0,N29&lt;&gt;0,M29&lt;&gt;N29),1,0)</x:f>
        <x:v>0</x:v>
      </x:c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9" t="str">
        <x:v>Investment returns</x:v>
      </x:c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9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73" t="str">
        <x:v>Equity IRR</x:v>
      </x:c>
      <x:c r="D34" s="76" t="n">
        <x:f>IF(AND(SUM(D28:N28)=1,SUM(D21:N21)&gt;0,SUM(D22:N22)&gt;0),IRR(D20:N20),"n.a.")</x:f>
        <x:v>0.1618111819228646</x:v>
      </x:c>
      <x:c r="E34" s="73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73" t="str">
        <x:v>Equity MOIC</x:v>
      </x:c>
      <x:c r="D35" s="77" t="n">
        <x:f>IF(SUM(D21:N21)&gt;0,SUM(D22:N22)/SUM(D21:N21),"n.a.")</x:f>
        <x:v>3.4950714416732986</x:v>
      </x:c>
      <x:c r="E35" s="73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 t="str">
        <x:v>Equity NPV</x:v>
      </x:c>
      <x:c r="D36" s="43" t="n">
        <x:f>NPV('Assumptions'!$D$22,E20:N20)+D20</x:f>
        <x:v>6846060.088794507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73" t="str">
        <x:v>Project IRR</x:v>
      </x:c>
      <x:c r="D37" s="76" t="n">
        <x:f>IF(AND(SUM(D30:N30)=1,SUM(D24:N24)&gt;0,SUM(D25:N25)&gt;0),IRR(D13:N13),"n.a.")</x:f>
        <x:v>0.14296450112117237</x:v>
      </x:c>
      <x:c r="E37" s="73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73" t="str">
        <x:v>Project MOIC</x:v>
      </x:c>
      <x:c r="D38" s="77" t="n">
        <x:f>IF(SUM(D24:N24)&gt;0,SUM(D25:N25)/SUM(D24:N24),"n.a.")</x:f>
        <x:v>2.8908429413296455</x:v>
      </x:c>
      <x:c r="E38" s="73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73" t="str">
        <x:v>Minimum operating DSCR</x:v>
      </x:c>
      <x:c r="D39" s="78" t="n">
        <x:f>IF(COUNT('Debt'!D21:N21)&gt;0,MIN('Debt'!D21:N21),"n.a.")</x:f>
        <x:v>0.5044384034210088</x:v>
      </x:c>
      <x:c r="E39" s="73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 t="str">
        <x:v>Covenant breach years</x:v>
      </x:c>
      <x:c r="D40" s="6" t="n">
        <x:f>SUM('Debt'!D25:N25)</x:f>
        <x:v>6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 t="str">
        <x:v>Contributed equity</x:v>
      </x:c>
      <x:c r="D41" s="45" t="n">
        <x:f>SUM(D21:N21)</x:f>
        <x:v>94709162.09528461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 t="str">
        <x:v>Distributed equity</x:v>
      </x:c>
      <x:c r="D42" s="45" t="n">
        <x:f>SUM(D22:N22)</x:f>
        <x:v>331015287.70403653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" t="str">
        <x:v>Operating debt-service shortfall</x:v>
      </x:c>
      <x:c r="D43" s="43" t="n">
        <x:f>SUM('Debt'!D23:N23)</x:f>
        <x:v>11198146.095284613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 t="str">
        <x:v>Debt at exit</x:v>
      </x:c>
      <x:c r="D44" s="45" t="n">
        <x:f>SUM(D18:N18)</x:f>
        <x:v>0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 t="str">
        <x:v>Net exit value to equity</x:v>
      </x:c>
      <x:c r="D45" s="45" t="n">
        <x:f>SUM(D11:N12)-SUM(D18:N18)</x:f>
        <x:v>312942975.0170003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 t="str">
        <x:v>Project NPV</x:v>
      </x:c>
      <x:c r="D46" s="43" t="n">
        <x:f>NPV('Assumptions'!$D$21,E13:N13)+D13</x:f>
        <x:v>43471537.023993626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73" t="str">
        <x:v>Exit share of equity distributions</x:v>
      </x:c>
      <x:c r="D47" s="76" t="n">
        <x:f>IF(SUM(D22:N22)&gt;0,D45/SUM(D22:N22),"n.a.")</x:f>
        <x:v>0.9454033896368109</x:v>
      </x:c>
      <x:c r="E47" s="73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 t="str">
        <x:v>DSCR-implied debt capacity</x:v>
      </x:c>
      <x:c r="D49" s="43" t="n">
        <x:f>IF(AND(ISNUMBER(D39),'Debt'!D8&gt;0),MAX(0,'Debt'!D8*D39/'Assumptions'!D28),"n.a.")</x:f>
        <x:v>25404837.296721715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 t="str">
        <x:v>Debt reduction to meet covenant</x:v>
      </x:c>
      <x:c r="D50" s="43" t="n">
        <x:f>IF(ISNUMBER(D49),MAX(0,'Debt'!D8-D49),"n.a.")</x:f>
        <x:v>40066562.70327829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 t="str">
        <x:v>Debt capacity holds operating cash and the repayment shape constant.</x:v>
      </x:c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 t="str">
        <x:v>It excludes lender loan-to-cost caps, reserves and other credit constraints.</x:v>
      </x:c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  <x:col min="15" max="15" width="23" hidden="0" customWidth="1"/>
    <x:col min="16" max="16" width="23" hidden="0" customWidth="1"/>
    <x:col min="17" max="17" width="23" hidden="0" customWidth="1"/>
    <x:col min="18" max="18" width="23" hidden="0" customWidth="1"/>
    <x:col min="19" max="19" width="23" hidden="0" customWidth="1"/>
    <x:col min="20" max="20" width="23" hidden="0" customWidth="1"/>
    <x:col min="21" max="21" width="23" hidden="0" customWidth="1"/>
    <x:col min="22" max="22" width="23" hidden="0" customWidth="1"/>
    <x:col min="23" max="23" width="2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BI Export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5" customHeight="1">
      <x:c r="A7" s="2"/>
      <x:c r="B7" s="2"/>
      <x:c r="C7" s="61" t="str">
        <x:v>Scenario</x:v>
      </x:c>
      <x:c r="D7" s="61" t="str">
        <x:v>Year</x:v>
      </x:c>
      <x:c r="E7" s="61" t="str">
        <x:v>Calendar_Year</x:v>
      </x:c>
      <x:c r="F7" s="61" t="str">
        <x:v>Revenue</x:v>
      </x:c>
      <x:c r="G7" s="61" t="str">
        <x:v>EBITDA</x:v>
      </x:c>
      <x:c r="H7" s="61" t="str">
        <x:v>Power_Cost</x:v>
      </x:c>
      <x:c r="I7" s="61" t="str">
        <x:v>CFADS</x:v>
      </x:c>
      <x:c r="J7" s="61" t="str">
        <x:v>Debt_Service</x:v>
      </x:c>
      <x:c r="K7" s="61" t="str">
        <x:v>Interest</x:v>
      </x:c>
      <x:c r="L7" s="61" t="str">
        <x:v>Principal</x:v>
      </x:c>
      <x:c r="M7" s="61" t="str">
        <x:v>Ending_Debt</x:v>
      </x:c>
      <x:c r="N7" s="61" t="str">
        <x:v>Equity_Cash_Flow</x:v>
      </x:c>
      <x:c r="O7" s="62" t="str">
        <x:v>Debt_Draw</x:v>
      </x:c>
      <x:c r="P7" s="62" t="str">
        <x:v>DSCR</x:v>
      </x:c>
      <x:c r="Q7" s="62" t="str">
        <x:v>Exit_Debt_Repayment</x:v>
      </x:c>
      <x:c r="R7" s="62" t="str">
        <x:v>Development_CapEx</x:v>
      </x:c>
      <x:c r="S7" s="62" t="str">
        <x:v>Cash_Taxes</x:v>
      </x:c>
      <x:c r="T7" s="62" t="str">
        <x:v>Maintenance_CapEx</x:v>
      </x:c>
      <x:c r="U7" s="62" t="str">
        <x:v>Change_In_Working_Capital</x:v>
      </x:c>
      <x:c r="V7" s="62" t="str">
        <x:v>Financing_Fee</x:v>
      </x:c>
      <x:c r="W7" s="62" t="str">
        <x:v>Covenant_Breach</x:v>
      </x:c>
    </x:row>
    <x:row r="8" ht="22" customHeight="1">
      <x:c r="A8" s="2"/>
      <x:c r="B8" s="2"/>
      <x:c r="C8" s="4" t="str">
        <x:f>'Assumptions'!E5</x:f>
        <x:v>Base</x:v>
      </x:c>
      <x:c r="D8" s="4" t="n">
        <x:f>'Assumptions'!D84</x:f>
        <x:v>0</x:v>
      </x:c>
      <x:c r="E8" s="4" t="n">
        <x:f>'Assumptions'!$D$9+'Assumptions'!D84</x:f>
        <x:v>2026</x:v>
      </x:c>
      <x:c r="F8" s="68" t="n">
        <x:f>'Operations'!D49</x:f>
        <x:v>0</x:v>
      </x:c>
      <x:c r="G8" s="68" t="n">
        <x:f>'Operations'!D52</x:f>
        <x:v>0</x:v>
      </x:c>
      <x:c r="H8" s="68" t="n">
        <x:f>'Operations'!D50</x:f>
        <x:v>0</x:v>
      </x:c>
      <x:c r="I8" s="68" t="n">
        <x:f>'Debt'!D20</x:f>
        <x:v>0</x:v>
      </x:c>
      <x:c r="J8" s="68" t="n">
        <x:f>'Debt'!D19</x:f>
        <x:v>637623.0000000001</x:v>
      </x:c>
      <x:c r="K8" s="68" t="n">
        <x:f>'Debt'!D14</x:f>
        <x:v>637623.0000000001</x:v>
      </x:c>
      <x:c r="L8" s="68" t="n">
        <x:f>'Debt'!D15</x:f>
        <x:v>0</x:v>
      </x:c>
      <x:c r="M8" s="68" t="n">
        <x:f>'Debt'!D18</x:f>
        <x:v>18217800</x:v>
      </x:c>
      <x:c r="N8" s="68" t="n">
        <x:f>'Returns'!D20</x:f>
        <x:v>-23885894</x:v>
      </x:c>
      <x:c r="O8" s="69" t="n">
        <x:f>'Debt'!D13</x:f>
        <x:v>18217800</x:v>
      </x:c>
      <x:c r="P8" s="70" t="str">
        <x:f>'Debt'!D21</x:f>
        <x:v>n.a.</x:v>
      </x:c>
      <x:c r="Q8" s="69" t="n">
        <x:f>'Debt'!D17</x:f>
        <x:v>0</x:v>
      </x:c>
      <x:c r="R8" s="69" t="n">
        <x:f>'Construction'!D10</x:f>
        <x:v>40484000</x:v>
      </x:c>
      <x:c r="S8" s="69" t="n">
        <x:f>'Operations'!D53</x:f>
        <x:v>0</x:v>
      </x:c>
      <x:c r="T8" s="69" t="n">
        <x:f>'Operations'!D54</x:f>
        <x:v>0</x:v>
      </x:c>
      <x:c r="U8" s="69" t="n">
        <x:f>'Operations'!D56</x:f>
        <x:v>0</x:v>
      </x:c>
      <x:c r="V8" s="69" t="n">
        <x:f>'Debt'!D24</x:f>
        <x:v>982071</x:v>
      </x:c>
      <x:c r="W8" s="63" t="b">
        <x:f>'Debt'!D25=1</x:f>
        <x:v>0</x:v>
      </x:c>
    </x:row>
    <x:row r="9" ht="22" customHeight="1">
      <x:c r="A9" s="2"/>
      <x:c r="B9" s="2"/>
      <x:c r="C9" s="4" t="str">
        <x:f>'Assumptions'!E5</x:f>
        <x:v>Base</x:v>
      </x:c>
      <x:c r="D9" s="4" t="n">
        <x:f>'Assumptions'!E84</x:f>
        <x:v>1</x:v>
      </x:c>
      <x:c r="E9" s="4" t="n">
        <x:f>'Assumptions'!$D$9+'Assumptions'!E84</x:f>
        <x:v>2027</x:v>
      </x:c>
      <x:c r="F9" s="68" t="n">
        <x:f>'Operations'!E49</x:f>
        <x:v>0</x:v>
      </x:c>
      <x:c r="G9" s="68" t="n">
        <x:f>'Operations'!E52</x:f>
        <x:v>0</x:v>
      </x:c>
      <x:c r="H9" s="68" t="n">
        <x:f>'Operations'!E50</x:f>
        <x:v>0</x:v>
      </x:c>
      <x:c r="I9" s="68" t="n">
        <x:f>'Debt'!E20</x:f>
        <x:v>0</x:v>
      </x:c>
      <x:c r="J9" s="68" t="n">
        <x:f>'Debt'!E19</x:f>
        <x:v>1870722.0000000002</x:v>
      </x:c>
      <x:c r="K9" s="68" t="n">
        <x:f>'Debt'!E14</x:f>
        <x:v>1870722.0000000002</x:v>
      </x:c>
      <x:c r="L9" s="68" t="n">
        <x:f>'Debt'!E15</x:f>
        <x:v>0</x:v>
      </x:c>
      <x:c r="M9" s="68" t="n">
        <x:f>'Debt'!E18</x:f>
        <x:v>35231400</x:v>
      </x:c>
      <x:c r="N9" s="68" t="n">
        <x:f>'Returns'!E20</x:f>
        <x:v>-22665122</x:v>
      </x:c>
      <x:c r="O9" s="69" t="n">
        <x:f>'Debt'!E13</x:f>
        <x:v>17013600</x:v>
      </x:c>
      <x:c r="P9" s="70" t="str">
        <x:f>'Debt'!E21</x:f>
        <x:v>n.a.</x:v>
      </x:c>
      <x:c r="Q9" s="69" t="n">
        <x:f>'Debt'!E17</x:f>
        <x:v>0</x:v>
      </x:c>
      <x:c r="R9" s="69" t="n">
        <x:f>'Construction'!E10</x:f>
        <x:v>37808000</x:v>
      </x:c>
      <x:c r="S9" s="69" t="n">
        <x:f>'Operations'!E53</x:f>
        <x:v>0</x:v>
      </x:c>
      <x:c r="T9" s="69" t="n">
        <x:f>'Operations'!E54</x:f>
        <x:v>0</x:v>
      </x:c>
      <x:c r="U9" s="69" t="n">
        <x:f>'Operations'!E56</x:f>
        <x:v>0</x:v>
      </x:c>
      <x:c r="V9" s="69" t="n">
        <x:f>'Debt'!E24</x:f>
        <x:v>0</x:v>
      </x:c>
      <x:c r="W9" s="63" t="b">
        <x:f>'Debt'!E25=1</x:f>
        <x:v>0</x:v>
      </x:c>
    </x:row>
    <x:row r="10" ht="22" customHeight="1">
      <x:c r="A10" s="2"/>
      <x:c r="B10" s="2"/>
      <x:c r="C10" s="4" t="str">
        <x:f>'Assumptions'!E5</x:f>
        <x:v>Base</x:v>
      </x:c>
      <x:c r="D10" s="4" t="n">
        <x:f>'Assumptions'!F84</x:f>
        <x:v>2</x:v>
      </x:c>
      <x:c r="E10" s="4" t="n">
        <x:f>'Assumptions'!$D$9+'Assumptions'!F84</x:f>
        <x:v>2028</x:v>
      </x:c>
      <x:c r="F10" s="68" t="n">
        <x:f>'Operations'!F49</x:f>
        <x:v>5534999.999999999</x:v>
      </x:c>
      <x:c r="G10" s="68" t="n">
        <x:f>'Operations'!F52</x:f>
        <x:v>2815879.999999999</x:v>
      </x:c>
      <x:c r="H10" s="68" t="n">
        <x:f>'Operations'!F50</x:f>
        <x:v>1419120</x:v>
      </x:c>
      <x:c r="I10" s="68" t="n">
        <x:f>'Debt'!F20</x:f>
        <x:v>1585159.999999999</x:v>
      </x:c>
      <x:c r="J10" s="68" t="n">
        <x:f>'Debt'!F19</x:f>
        <x:v>2889558.0000000005</x:v>
      </x:c>
      <x:c r="K10" s="68" t="n">
        <x:f>'Debt'!F14</x:f>
        <x:v>2889558.0000000005</x:v>
      </x:c>
      <x:c r="L10" s="68" t="n">
        <x:f>'Debt'!F15</x:f>
        <x:v>0</x:v>
      </x:c>
      <x:c r="M10" s="68" t="n">
        <x:f>'Debt'!F18</x:f>
        <x:v>47327400</x:v>
      </x:c>
      <x:c r="N10" s="68" t="n">
        <x:f>'Returns'!F20</x:f>
        <x:v>-16088398</x:v>
      </x:c>
      <x:c r="O10" s="69" t="n">
        <x:f>'Debt'!F13</x:f>
        <x:v>12096000</x:v>
      </x:c>
      <x:c r="P10" s="70" t="n">
        <x:f>'Debt'!F21</x:f>
        <x:v>0.5485821706987708</x:v>
      </x:c>
      <x:c r="Q10" s="69" t="n">
        <x:f>'Debt'!F17</x:f>
        <x:v>0</x:v>
      </x:c>
      <x:c r="R10" s="69" t="n">
        <x:f>'Construction'!F10</x:f>
        <x:v>26880000</x:v>
      </x:c>
      <x:c r="S10" s="69" t="n">
        <x:f>'Operations'!F53</x:f>
        <x:v>703969.9999999998</x:v>
      </x:c>
      <x:c r="T10" s="69" t="n">
        <x:f>'Operations'!F54</x:f>
        <x:v>250000</x:v>
      </x:c>
      <x:c r="U10" s="69" t="n">
        <x:f>'Operations'!F56</x:f>
        <x:v>276749.99999999994</x:v>
      </x:c>
      <x:c r="V10" s="69" t="n">
        <x:f>'Debt'!F24</x:f>
        <x:v>0</x:v>
      </x:c>
      <x:c r="W10" s="63" t="b">
        <x:f>'Debt'!F25=1</x:f>
        <x:v>1</x:v>
      </x:c>
    </x:row>
    <x:row r="11" ht="22" customHeight="1">
      <x:c r="A11" s="2"/>
      <x:c r="B11" s="2"/>
      <x:c r="C11" s="4" t="str">
        <x:f>'Assumptions'!E5</x:f>
        <x:v>Base</x:v>
      </x:c>
      <x:c r="D11" s="4" t="n">
        <x:f>'Assumptions'!G84</x:f>
        <x:v>3</x:v>
      </x:c>
      <x:c r="E11" s="4" t="n">
        <x:f>'Assumptions'!$D$9+'Assumptions'!G84</x:f>
        <x:v>2029</x:v>
      </x:c>
      <x:c r="F11" s="68" t="n">
        <x:f>'Operations'!G49</x:f>
        <x:v>9219234.374999998</x:v>
      </x:c>
      <x:c r="G11" s="68" t="n">
        <x:f>'Operations'!G52</x:f>
        <x:v>5613164.374999998</x:v>
      </x:c>
      <x:c r="H11" s="68" t="n">
        <x:f>'Operations'!G50</x:f>
        <x:v>2306070</x:v>
      </x:c>
      <x:c r="I11" s="68" t="n">
        <x:f>'Debt'!G20</x:f>
        <x:v>3775661.562499998</x:v>
      </x:c>
      <x:c r="J11" s="68" t="n">
        <x:f>'Debt'!G19</x:f>
        <x:v>3947958.0000000005</x:v>
      </x:c>
      <x:c r="K11" s="68" t="n">
        <x:f>'Debt'!G14</x:f>
        <x:v>3947958.0000000005</x:v>
      </x:c>
      <x:c r="L11" s="68" t="n">
        <x:f>'Debt'!G15</x:f>
        <x:v>0</x:v>
      </x:c>
      <x:c r="M11" s="68" t="n">
        <x:f>'Debt'!G18</x:f>
        <x:v>65471400</x:v>
      </x:c>
      <x:c r="N11" s="68" t="n">
        <x:f>'Returns'!G20</x:f>
        <x:v>-22348296.4375</x:v>
      </x:c>
      <x:c r="O11" s="69" t="n">
        <x:f>'Debt'!G13</x:f>
        <x:v>18144000</x:v>
      </x:c>
      <x:c r="P11" s="70" t="n">
        <x:f>'Debt'!G21</x:f>
        <x:v>0.9563580875227137</x:v>
      </x:c>
      <x:c r="Q11" s="69" t="n">
        <x:f>'Debt'!G17</x:f>
        <x:v>0</x:v>
      </x:c>
      <x:c r="R11" s="69" t="n">
        <x:f>'Construction'!G10</x:f>
        <x:v>40320000</x:v>
      </x:c>
      <x:c r="S11" s="69" t="n">
        <x:f>'Operations'!G53</x:f>
        <x:v>1403291.0937499995</x:v>
      </x:c>
      <x:c r="T11" s="69" t="n">
        <x:f>'Operations'!G54</x:f>
        <x:v>250000</x:v>
      </x:c>
      <x:c r="U11" s="69" t="n">
        <x:f>'Operations'!G56</x:f>
        <x:v>184211.71875</x:v>
      </x:c>
      <x:c r="V11" s="69" t="n">
        <x:f>'Debt'!G24</x:f>
        <x:v>0</x:v>
      </x:c>
      <x:c r="W11" s="63" t="b">
        <x:f>'Debt'!G25=1</x:f>
        <x:v>1</x:v>
      </x:c>
    </x:row>
    <x:row r="12" ht="22" customHeight="1">
      <x:c r="A12" s="2"/>
      <x:c r="B12" s="2"/>
      <x:c r="C12" s="4" t="str">
        <x:f>'Assumptions'!E5</x:f>
        <x:v>Base</x:v>
      </x:c>
      <x:c r="D12" s="4" t="n">
        <x:f>'Assumptions'!H84</x:f>
        <x:v>4</x:v>
      </x:c>
      <x:c r="E12" s="4" t="n">
        <x:f>'Assumptions'!$D$9+'Assumptions'!H84</x:f>
        <x:v>2030</x:v>
      </x:c>
      <x:c r="F12" s="68" t="n">
        <x:f>'Operations'!H49</x:f>
        <x:v>17445628.124999993</x:v>
      </x:c>
      <x:c r="G12" s="68" t="n">
        <x:f>'Operations'!H52</x:f>
        <x:v>10588268.124999994</x:v>
      </x:c>
      <x:c r="H12" s="68" t="n">
        <x:f>'Operations'!H50</x:f>
        <x:v>4257360</x:v>
      </x:c>
      <x:c r="I12" s="68" t="n">
        <x:f>'Debt'!H20</x:f>
        <x:v>7029881.406249996</x:v>
      </x:c>
      <x:c r="J12" s="68" t="n">
        <x:f>'Debt'!H19</x:f>
        <x:v>13936055.142857144</x:v>
      </x:c>
      <x:c r="K12" s="68" t="n">
        <x:f>'Debt'!H14</x:f>
        <x:v>4582998</x:v>
      </x:c>
      <x:c r="L12" s="68" t="n">
        <x:f>'Debt'!H15</x:f>
        <x:v>9353057.142857144</x:v>
      </x:c>
      <x:c r="M12" s="68" t="n">
        <x:f>'Debt'!H18</x:f>
        <x:v>56118342.85714286</x:v>
      </x:c>
      <x:c r="N12" s="68" t="n">
        <x:f>'Returns'!H20</x:f>
        <x:v>-6906173.736607147</x:v>
      </x:c>
      <x:c r="O12" s="69" t="n">
        <x:f>'Debt'!H13</x:f>
        <x:v>0</x:v>
      </x:c>
      <x:c r="P12" s="70" t="n">
        <x:f>'Debt'!H21</x:f>
        <x:v>0.5044384034210088</x:v>
      </x:c>
      <x:c r="Q12" s="69" t="n">
        <x:f>'Debt'!H17</x:f>
        <x:v>0</x:v>
      </x:c>
      <x:c r="R12" s="69" t="n">
        <x:f>'Construction'!H10</x:f>
        <x:v>0</x:v>
      </x:c>
      <x:c r="S12" s="69" t="n">
        <x:f>'Operations'!H53</x:f>
        <x:v>2647067.0312499986</x:v>
      </x:c>
      <x:c r="T12" s="69" t="n">
        <x:f>'Operations'!H54</x:f>
        <x:v>500000</x:v>
      </x:c>
      <x:c r="U12" s="69" t="n">
        <x:f>'Operations'!H56</x:f>
        <x:v>411319.6874999999</x:v>
      </x:c>
      <x:c r="V12" s="69" t="n">
        <x:f>'Debt'!H24</x:f>
        <x:v>0</x:v>
      </x:c>
      <x:c r="W12" s="63" t="b">
        <x:f>'Debt'!H25=1</x:f>
        <x:v>1</x:v>
      </x:c>
    </x:row>
    <x:row r="13" ht="22" customHeight="1">
      <x:c r="A13" s="2"/>
      <x:c r="B13" s="2"/>
      <x:c r="C13" s="4" t="str">
        <x:f>'Assumptions'!E5</x:f>
        <x:v>Base</x:v>
      </x:c>
      <x:c r="D13" s="4" t="n">
        <x:f>'Assumptions'!I84</x:f>
        <x:v>5</x:v>
      </x:c>
      <x:c r="E13" s="4" t="n">
        <x:f>'Assumptions'!$D$9+'Assumptions'!I84</x:f>
        <x:v>2031</x:v>
      </x:c>
      <x:c r="F13" s="68" t="n">
        <x:f>'Operations'!I49</x:f>
        <x:v>23097284.736328118</x:v>
      </x:c>
      <x:c r="G13" s="68" t="n">
        <x:f>'Operations'!I52</x:f>
        <x:v>14998194.736328118</x:v>
      </x:c>
      <x:c r="H13" s="68" t="n">
        <x:f>'Operations'!I50</x:f>
        <x:v>5499090</x:v>
      </x:c>
      <x:c r="I13" s="68" t="n">
        <x:f>'Debt'!I20</x:f>
        <x:v>10466063.221679682</x:v>
      </x:c>
      <x:c r="J13" s="68" t="n">
        <x:f>'Debt'!I19</x:f>
        <x:v>13281341.142857144</x:v>
      </x:c>
      <x:c r="K13" s="68" t="n">
        <x:f>'Debt'!I14</x:f>
        <x:v>3928284.0000000005</x:v>
      </x:c>
      <x:c r="L13" s="68" t="n">
        <x:f>'Debt'!I15</x:f>
        <x:v>9353057.142857144</x:v>
      </x:c>
      <x:c r="M13" s="68" t="n">
        <x:f>'Debt'!I18</x:f>
        <x:v>46765285.71428572</x:v>
      </x:c>
      <x:c r="N13" s="68" t="n">
        <x:f>'Returns'!I20</x:f>
        <x:v>-2815277.9211774617</x:v>
      </x:c>
      <x:c r="O13" s="69" t="n">
        <x:f>'Debt'!I13</x:f>
        <x:v>0</x:v>
      </x:c>
      <x:c r="P13" s="70" t="n">
        <x:f>'Debt'!I21</x:f>
        <x:v>0.7880275876588299</x:v>
      </x:c>
      <x:c r="Q13" s="69" t="n">
        <x:f>'Debt'!I17</x:f>
        <x:v>0</x:v>
      </x:c>
      <x:c r="R13" s="69" t="n">
        <x:f>'Construction'!I10</x:f>
        <x:v>0</x:v>
      </x:c>
      <x:c r="S13" s="69" t="n">
        <x:f>'Operations'!I53</x:f>
        <x:v>3749548.6840820294</x:v>
      </x:c>
      <x:c r="T13" s="69" t="n">
        <x:f>'Operations'!I54</x:f>
        <x:v>500000</x:v>
      </x:c>
      <x:c r="U13" s="69" t="n">
        <x:f>'Operations'!I56</x:f>
        <x:v>282582.83056640613</x:v>
      </x:c>
      <x:c r="V13" s="69" t="n">
        <x:f>'Debt'!I24</x:f>
        <x:v>0</x:v>
      </x:c>
      <x:c r="W13" s="63" t="b">
        <x:f>'Debt'!I25=1</x:f>
        <x:v>1</x:v>
      </x:c>
    </x:row>
    <x:row r="14" ht="22" customHeight="1">
      <x:c r="A14" s="2"/>
      <x:c r="B14" s="2"/>
      <x:c r="C14" s="4" t="str">
        <x:f>'Assumptions'!E5</x:f>
        <x:v>Base</x:v>
      </x:c>
      <x:c r="D14" s="4" t="n">
        <x:f>'Assumptions'!J84</x:f>
        <x:v>6</x:v>
      </x:c>
      <x:c r="E14" s="4" t="n">
        <x:f>'Assumptions'!$D$9+'Assumptions'!J84</x:f>
        <x:v>2032</x:v>
      </x:c>
      <x:c r="F14" s="68" t="n">
        <x:f>'Operations'!J49</x:f>
        <x:v>26729519.029541</x:v>
      </x:c>
      <x:c r="G14" s="68" t="n">
        <x:f>'Operations'!J52</x:f>
        <x:v>17920869.029541</x:v>
      </x:c>
      <x:c r="H14" s="68" t="n">
        <x:f>'Operations'!J50</x:f>
        <x:v>6208650</x:v>
      </x:c>
      <x:c r="I14" s="68" t="n">
        <x:f>'Debt'!J20</x:f>
        <x:v>12759040.057495106</x:v>
      </x:c>
      <x:c r="J14" s="68" t="n">
        <x:f>'Debt'!J19</x:f>
        <x:v>12626627.142857144</x:v>
      </x:c>
      <x:c r="K14" s="68" t="n">
        <x:f>'Debt'!J14</x:f>
        <x:v>3273570.0000000005</x:v>
      </x:c>
      <x:c r="L14" s="68" t="n">
        <x:f>'Debt'!J15</x:f>
        <x:v>9353057.142857144</x:v>
      </x:c>
      <x:c r="M14" s="68" t="n">
        <x:f>'Debt'!J18</x:f>
        <x:v>37412228.571428575</x:v>
      </x:c>
      <x:c r="N14" s="68" t="n">
        <x:f>'Returns'!J20</x:f>
        <x:v>132412.91463796236</x:v>
      </x:c>
      <x:c r="O14" s="69" t="n">
        <x:f>'Debt'!J13</x:f>
        <x:v>0</x:v>
      </x:c>
      <x:c r="P14" s="70" t="n">
        <x:f>'Debt'!J21</x:f>
        <x:v>1.0104868000884042</x:v>
      </x:c>
      <x:c r="Q14" s="69" t="n">
        <x:f>'Debt'!J17</x:f>
        <x:v>0</x:v>
      </x:c>
      <x:c r="R14" s="69" t="n">
        <x:f>'Construction'!J10</x:f>
        <x:v>0</x:v>
      </x:c>
      <x:c r="S14" s="69" t="n">
        <x:f>'Operations'!J53</x:f>
        <x:v>4480217.25738525</x:v>
      </x:c>
      <x:c r="T14" s="69" t="n">
        <x:f>'Operations'!J54</x:f>
        <x:v>500000</x:v>
      </x:c>
      <x:c r="U14" s="69" t="n">
        <x:f>'Operations'!J56</x:f>
        <x:v>181611.714660644</x:v>
      </x:c>
      <x:c r="V14" s="69" t="n">
        <x:f>'Debt'!J24</x:f>
        <x:v>0</x:v>
      </x:c>
      <x:c r="W14" s="63" t="b">
        <x:f>'Debt'!J25=1</x:f>
        <x:v>1</x:v>
      </x:c>
    </x:row>
    <x:row r="15" ht="22" customHeight="1">
      <x:c r="A15" s="2"/>
      <x:c r="B15" s="2"/>
      <x:c r="C15" s="4" t="str">
        <x:f>'Assumptions'!E5</x:f>
        <x:v>Base</x:v>
      </x:c>
      <x:c r="D15" s="4" t="n">
        <x:f>'Assumptions'!K84</x:f>
        <x:v>7</x:v>
      </x:c>
      <x:c r="E15" s="4" t="n">
        <x:f>'Assumptions'!$D$9+'Assumptions'!K84</x:f>
        <x:v>2033</x:v>
      </x:c>
      <x:c r="F15" s="68" t="n">
        <x:f>'Operations'!K49</x:f>
        <x:v>28963343.119866922</x:v>
      </x:c>
      <x:c r="G15" s="68" t="n">
        <x:f>'Operations'!K52</x:f>
        <x:v>19799913.119866922</x:v>
      </x:c>
      <x:c r="H15" s="68" t="n">
        <x:f>'Operations'!K50</x:f>
        <x:v>6563430</x:v>
      </x:c>
      <x:c r="I15" s="68" t="n">
        <x:f>'Debt'!K20</x:f>
        <x:v>14238243.635383897</x:v>
      </x:c>
      <x:c r="J15" s="68" t="n">
        <x:f>'Debt'!K19</x:f>
        <x:v>11971913.142857144</x:v>
      </x:c>
      <x:c r="K15" s="68" t="n">
        <x:f>'Debt'!K14</x:f>
        <x:v>2618856.0000000005</x:v>
      </x:c>
      <x:c r="L15" s="68" t="n">
        <x:f>'Debt'!K15</x:f>
        <x:v>9353057.142857144</x:v>
      </x:c>
      <x:c r="M15" s="68" t="n">
        <x:f>'Debt'!K18</x:f>
        <x:v>28059171.428571433</x:v>
      </x:c>
      <x:c r="N15" s="68" t="n">
        <x:f>'Returns'!K20</x:f>
        <x:v>2266330.492526753</x:v>
      </x:c>
      <x:c r="O15" s="69" t="n">
        <x:f>'Debt'!K13</x:f>
        <x:v>0</x:v>
      </x:c>
      <x:c r="P15" s="70" t="n">
        <x:f>'Debt'!K21</x:f>
        <x:v>1.1893039538028158</x:v>
      </x:c>
      <x:c r="Q15" s="69" t="n">
        <x:f>'Debt'!K17</x:f>
        <x:v>0</x:v>
      </x:c>
      <x:c r="R15" s="69" t="n">
        <x:f>'Construction'!K10</x:f>
        <x:v>0</x:v>
      </x:c>
      <x:c r="S15" s="69" t="n">
        <x:f>'Operations'!K53</x:f>
        <x:v>4949978.279966731</x:v>
      </x:c>
      <x:c r="T15" s="69" t="n">
        <x:f>'Operations'!K54</x:f>
        <x:v>500000</x:v>
      </x:c>
      <x:c r="U15" s="69" t="n">
        <x:f>'Operations'!K56</x:f>
        <x:v>111691.20451629627</x:v>
      </x:c>
      <x:c r="V15" s="69" t="n">
        <x:f>'Debt'!K24</x:f>
        <x:v>0</x:v>
      </x:c>
      <x:c r="W15" s="63" t="b">
        <x:f>'Debt'!K25=1</x:f>
        <x:v>1</x:v>
      </x:c>
    </x:row>
    <x:row r="16" ht="22" customHeight="1">
      <x:c r="A16" s="2"/>
      <x:c r="B16" s="2"/>
      <x:c r="C16" s="4" t="str">
        <x:f>'Assumptions'!E5</x:f>
        <x:v>Base</x:v>
      </x:c>
      <x:c r="D16" s="4" t="n">
        <x:f>'Assumptions'!L84</x:f>
        <x:v>8</x:v>
      </x:c>
      <x:c r="E16" s="4" t="n">
        <x:f>'Assumptions'!$D$9+'Assumptions'!L84</x:f>
        <x:v>2034</x:v>
      </x:c>
      <x:c r="F16" s="68" t="n">
        <x:f>'Operations'!L49</x:f>
        <x:v>30489789.581589643</x:v>
      </x:c>
      <x:c r="G16" s="68" t="n">
        <x:f>'Operations'!L52</x:f>
        <x:v>21148969.581589643</x:v>
      </x:c>
      <x:c r="H16" s="68" t="n">
        <x:f>'Operations'!L50</x:f>
        <x:v>6740820.000000001</x:v>
      </x:c>
      <x:c r="I16" s="68" t="n">
        <x:f>'Debt'!L20</x:f>
        <x:v>15285404.863106098</x:v>
      </x:c>
      <x:c r="J16" s="68" t="n">
        <x:f>'Debt'!L19</x:f>
        <x:v>11317199.142857144</x:v>
      </x:c>
      <x:c r="K16" s="68" t="n">
        <x:f>'Debt'!L14</x:f>
        <x:v>1964142.0000000005</x:v>
      </x:c>
      <x:c r="L16" s="68" t="n">
        <x:f>'Debt'!L15</x:f>
        <x:v>9353057.142857144</x:v>
      </x:c>
      <x:c r="M16" s="68" t="n">
        <x:f>'Debt'!L18</x:f>
        <x:v>18706114.28571429</x:v>
      </x:c>
      <x:c r="N16" s="68" t="n">
        <x:f>'Returns'!L20</x:f>
        <x:v>3968205.7202489544</x:v>
      </x:c>
      <x:c r="O16" s="69" t="n">
        <x:f>'Debt'!L13</x:f>
        <x:v>0</x:v>
      </x:c>
      <x:c r="P16" s="70" t="n">
        <x:f>'Debt'!L21</x:f>
        <x:v>1.3506349645489353</x:v>
      </x:c>
      <x:c r="Q16" s="69" t="n">
        <x:f>'Debt'!L17</x:f>
        <x:v>0</x:v>
      </x:c>
      <x:c r="R16" s="69" t="n">
        <x:f>'Construction'!L10</x:f>
        <x:v>0</x:v>
      </x:c>
      <x:c r="S16" s="69" t="n">
        <x:f>'Operations'!L53</x:f>
        <x:v>5287242.395397411</x:v>
      </x:c>
      <x:c r="T16" s="69" t="n">
        <x:f>'Operations'!L54</x:f>
        <x:v>500000</x:v>
      </x:c>
      <x:c r="U16" s="69" t="n">
        <x:f>'Operations'!L56</x:f>
        <x:v>76322.3230861359</x:v>
      </x:c>
      <x:c r="V16" s="69" t="n">
        <x:f>'Debt'!L24</x:f>
        <x:v>0</x:v>
      </x:c>
      <x:c r="W16" s="63" t="b">
        <x:f>'Debt'!L25=1</x:f>
        <x:v>0</x:v>
      </x:c>
    </x:row>
    <x:row r="17" ht="22" customHeight="1">
      <x:c r="A17" s="2"/>
      <x:c r="B17" s="2"/>
      <x:c r="C17" s="4" t="str">
        <x:f>'Assumptions'!E5</x:f>
        <x:v>Base</x:v>
      </x:c>
      <x:c r="D17" s="4" t="n">
        <x:f>'Assumptions'!M84</x:f>
        <x:v>9</x:v>
      </x:c>
      <x:c r="E17" s="4" t="n">
        <x:f>'Assumptions'!$D$9+'Assumptions'!M84</x:f>
        <x:v>2035</x:v>
      </x:c>
      <x:c r="F17" s="68" t="n">
        <x:f>'Operations'!M49</x:f>
        <x:v>31252034.321129378</x:v>
      </x:c>
      <x:c r="G17" s="68" t="n">
        <x:f>'Operations'!M52</x:f>
        <x:v>21911214.321129378</x:v>
      </x:c>
      <x:c r="H17" s="68" t="n">
        <x:f>'Operations'!M50</x:f>
        <x:v>6740820.000000001</x:v>
      </x:c>
      <x:c r="I17" s="68" t="n">
        <x:f>'Debt'!M20</x:f>
        <x:v>15895298.503870046</x:v>
      </x:c>
      <x:c r="J17" s="68" t="n">
        <x:f>'Debt'!M19</x:f>
        <x:v>10662485.142857144</x:v>
      </x:c>
      <x:c r="K17" s="68" t="n">
        <x:f>'Debt'!M14</x:f>
        <x:v>1309428.0000000005</x:v>
      </x:c>
      <x:c r="L17" s="68" t="n">
        <x:f>'Debt'!M15</x:f>
        <x:v>9353057.142857144</x:v>
      </x:c>
      <x:c r="M17" s="68" t="n">
        <x:f>'Debt'!M18</x:f>
        <x:v>9353057.142857147</x:v>
      </x:c>
      <x:c r="N17" s="68" t="n">
        <x:f>'Returns'!M20</x:f>
        <x:v>5232813.361012902</x:v>
      </x:c>
      <x:c r="O17" s="69" t="n">
        <x:f>'Debt'!M13</x:f>
        <x:v>0</x:v>
      </x:c>
      <x:c r="P17" s="70" t="n">
        <x:f>'Debt'!M21</x:f>
        <x:v>1.4907686426666107</x:v>
      </x:c>
      <x:c r="Q17" s="69" t="n">
        <x:f>'Debt'!M17</x:f>
        <x:v>0</x:v>
      </x:c>
      <x:c r="R17" s="69" t="n">
        <x:f>'Construction'!M10</x:f>
        <x:v>0</x:v>
      </x:c>
      <x:c r="S17" s="69" t="n">
        <x:f>'Operations'!M53</x:f>
        <x:v>5477803.5802823445</x:v>
      </x:c>
      <x:c r="T17" s="69" t="n">
        <x:f>'Operations'!M54</x:f>
        <x:v>500000</x:v>
      </x:c>
      <x:c r="U17" s="69" t="n">
        <x:f>'Operations'!M56</x:f>
        <x:v>38112.23697698675</x:v>
      </x:c>
      <x:c r="V17" s="69" t="n">
        <x:f>'Debt'!M24</x:f>
        <x:v>0</x:v>
      </x:c>
      <x:c r="W17" s="63" t="b">
        <x:f>'Debt'!M25=1</x:f>
        <x:v>0</x:v>
      </x:c>
    </x:row>
    <x:row r="18" ht="22" customHeight="1">
      <x:c r="A18" s="2"/>
      <x:c r="B18" s="2"/>
      <x:c r="C18" s="4" t="str">
        <x:f>'Assumptions'!E5</x:f>
        <x:v>Base</x:v>
      </x:c>
      <x:c r="D18" s="4" t="n">
        <x:f>'Assumptions'!N84</x:f>
        <x:v>10</x:v>
      </x:c>
      <x:c r="E18" s="4" t="n">
        <x:f>'Assumptions'!$D$9+'Assumptions'!N84</x:f>
        <x:v>2036</x:v>
      </x:c>
      <x:c r="F18" s="68" t="n">
        <x:f>'Operations'!N49</x:f>
        <x:v>32033335.179157615</x:v>
      </x:c>
      <x:c r="G18" s="68" t="n">
        <x:f>'Operations'!N52</x:f>
        <x:v>22692515.179157615</x:v>
      </x:c>
      <x:c r="H18" s="68" t="n">
        <x:f>'Operations'!N50</x:f>
        <x:v>6740820.000000001</x:v>
      </x:c>
      <x:c r="I18" s="68" t="n">
        <x:f>'Debt'!N20</x:f>
        <x:v>16480321.3414668</x:v>
      </x:c>
      <x:c r="J18" s="68" t="n">
        <x:f>'Debt'!N19</x:f>
        <x:v>10007771.142857147</x:v>
      </x:c>
      <x:c r="K18" s="68" t="n">
        <x:f>'Debt'!N14</x:f>
        <x:v>654714.0000000003</x:v>
      </x:c>
      <x:c r="L18" s="68" t="n">
        <x:f>'Debt'!N15</x:f>
        <x:v>9353057.142857147</x:v>
      </x:c>
      <x:c r="M18" s="68" t="n">
        <x:f>'Debt'!N18</x:f>
        <x:v>0</x:v>
      </x:c>
      <x:c r="N18" s="68" t="n">
        <x:f>'Returns'!N20</x:f>
        <x:v>319415525.21560997</x:v>
      </x:c>
      <x:c r="O18" s="69" t="n">
        <x:f>'Debt'!N13</x:f>
        <x:v>0</x:v>
      </x:c>
      <x:c r="P18" s="70" t="n">
        <x:f>'Debt'!N21</x:f>
        <x:v>1.6467524193165937</x:v>
      </x:c>
      <x:c r="Q18" s="69" t="n">
        <x:f>'Debt'!N17</x:f>
        <x:v>0</x:v>
      </x:c>
      <x:c r="R18" s="69" t="n">
        <x:f>'Construction'!N10</x:f>
        <x:v>0</x:v>
      </x:c>
      <x:c r="S18" s="69" t="n">
        <x:f>'Operations'!N53</x:f>
        <x:v>5673128.794789404</x:v>
      </x:c>
      <x:c r="T18" s="69" t="n">
        <x:f>'Operations'!N54</x:f>
        <x:v>500000</x:v>
      </x:c>
      <x:c r="U18" s="69" t="n">
        <x:f>'Operations'!N56</x:f>
        <x:v>39065.042901411885</x:v>
      </x:c>
      <x:c r="V18" s="69" t="n">
        <x:f>'Debt'!N24</x:f>
        <x:v>0</x:v>
      </x:c>
      <x:c r="W18" s="63" t="b">
        <x:f>'Debt'!N25=1</x:f>
        <x:v>0</x:v>
      </x:c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2" customHeight="1">
      <x:c r="A21" s="2"/>
      <x:c r="B21" s="2"/>
      <x:c r="C21" s="2" t="str">
        <x:v>Active case only. Recalculate and export this table to CSV for Power BI.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2" customHeight="1">
      <x:c r="A22" s="2"/>
      <x:c r="B22" s="2"/>
      <x:c r="C22" s="2" t="str">
        <x:v>The separate PBIP package is a fixed three-case starter dataset; it does not sync automatically.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35" customHeight="1">
      <x:c r="A25" s="2"/>
      <x:c r="B25" s="2"/>
      <x:c r="C25" s="61" t="str">
        <x:v>Scenario</x:v>
      </x:c>
      <x:c r="D25" s="61" t="str">
        <x:v>Equity_IRR</x:v>
      </x:c>
      <x:c r="E25" s="61" t="str">
        <x:v>Equity_MOIC</x:v>
      </x:c>
      <x:c r="F25" s="61" t="str">
        <x:v>Project_IRR</x:v>
      </x:c>
      <x:c r="G25" s="61" t="str">
        <x:v>Project_MOIC</x:v>
      </x:c>
      <x:c r="H25" s="61" t="str">
        <x:v>Equity_NPV</x:v>
      </x:c>
      <x:c r="I25" s="61" t="str">
        <x:v>Minimum_DSCR</x:v>
      </x:c>
      <x:c r="J25" s="61" t="str">
        <x:v>Contributed_Equity</x:v>
      </x:c>
      <x:c r="K25" s="61" t="str">
        <x:v>Distributed_Equity</x:v>
      </x:c>
      <x:c r="L25" s="61" t="str">
        <x:v>Debt_Commitment</x:v>
      </x:c>
      <x:c r="M25" s="61" t="str">
        <x:v>Covenant_Breach_Years</x:v>
      </x:c>
      <x:c r="N25" s="2"/>
    </x:row>
    <x:row r="26" ht="22" customHeight="1">
      <x:c r="A26" s="2"/>
      <x:c r="B26" s="2"/>
      <x:c r="C26" s="4" t="str">
        <x:f>'Assumptions'!E5</x:f>
        <x:v>Base</x:v>
      </x:c>
      <x:c r="D26" s="67" t="n">
        <x:f>'Returns'!D34</x:f>
        <x:v>0.1618111819228646</x:v>
      </x:c>
      <x:c r="E26" s="44" t="n">
        <x:f>'Returns'!D35</x:f>
        <x:v>3.4950714416732986</x:v>
      </x:c>
      <x:c r="F26" s="67" t="n">
        <x:f>'Returns'!D37</x:f>
        <x:v>0.14296450112117237</x:v>
      </x:c>
      <x:c r="G26" s="44" t="n">
        <x:f>'Returns'!D38</x:f>
        <x:v>2.8908429413296455</x:v>
      </x:c>
      <x:c r="H26" s="43" t="n">
        <x:f>'Returns'!D36</x:f>
        <x:v>6846060.088794507</x:v>
      </x:c>
      <x:c r="I26" s="44" t="n">
        <x:f>'Returns'!D39</x:f>
        <x:v>0.5044384034210088</x:v>
      </x:c>
      <x:c r="J26" s="43" t="n">
        <x:f>'Returns'!D41</x:f>
        <x:v>94709162.09528461</x:v>
      </x:c>
      <x:c r="K26" s="43" t="n">
        <x:f>'Returns'!D42</x:f>
        <x:v>331015287.70403653</x:v>
      </x:c>
      <x:c r="L26" s="43" t="n">
        <x:f>'Debt'!D8</x:f>
        <x:v>65471400</x:v>
      </x:c>
      <x:c r="M26" s="4" t="n">
        <x:f>'Returns'!D40</x:f>
        <x:v>6</x:v>
      </x:c>
      <x:c r="N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Audit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9" t="str">
        <x:v>Calendar year</x:v>
      </x:c>
      <x:c r="D5" s="10" t="n">
        <x:f>'Assumptions'!$D$9+D6</x:f>
        <x:v>2026</x:v>
      </x:c>
      <x:c r="E5" s="10" t="n">
        <x:f>'Assumptions'!$D$9+E6</x:f>
        <x:v>2027</x:v>
      </x:c>
      <x:c r="F5" s="10" t="n">
        <x:f>'Assumptions'!$D$9+F6</x:f>
        <x:v>2028</x:v>
      </x:c>
      <x:c r="G5" s="10" t="n">
        <x:f>'Assumptions'!$D$9+G6</x:f>
        <x:v>2029</x:v>
      </x:c>
      <x:c r="H5" s="10" t="n">
        <x:f>'Assumptions'!$D$9+H6</x:f>
        <x:v>2030</x:v>
      </x:c>
      <x:c r="I5" s="10" t="n">
        <x:f>'Assumptions'!$D$9+I6</x:f>
        <x:v>2031</x:v>
      </x:c>
      <x:c r="J5" s="10" t="n">
        <x:f>'Assumptions'!$D$9+J6</x:f>
        <x:v>2032</x:v>
      </x:c>
      <x:c r="K5" s="10" t="n">
        <x:f>'Assumptions'!$D$9+K6</x:f>
        <x:v>2033</x:v>
      </x:c>
      <x:c r="L5" s="10" t="n">
        <x:f>'Assumptions'!$D$9+L6</x:f>
        <x:v>2034</x:v>
      </x:c>
      <x:c r="M5" s="10" t="n">
        <x:f>'Assumptions'!$D$9+M6</x:f>
        <x:v>2035</x:v>
      </x:c>
      <x:c r="N5" s="10" t="n">
        <x:f>'Assumptions'!$D$9+N6</x:f>
        <x:v>2036</x:v>
      </x:c>
    </x:row>
    <x:row r="6" ht="22" customHeight="1">
      <x:c r="A6" s="2"/>
      <x:c r="B6" s="2"/>
      <x:c r="C6" s="9" t="str">
        <x:v>Model year</x:v>
      </x:c>
      <x:c r="D6" s="10" t="n">
        <x:f>'Assumptions'!D84</x:f>
        <x:v>0</x:v>
      </x:c>
      <x:c r="E6" s="10" t="n">
        <x:f>'Assumptions'!E84</x:f>
        <x:v>1</x:v>
      </x:c>
      <x:c r="F6" s="10" t="n">
        <x:f>'Assumptions'!F84</x:f>
        <x:v>2</x:v>
      </x:c>
      <x:c r="G6" s="10" t="n">
        <x:f>'Assumptions'!G84</x:f>
        <x:v>3</x:v>
      </x:c>
      <x:c r="H6" s="10" t="n">
        <x:f>'Assumptions'!H84</x:f>
        <x:v>4</x:v>
      </x:c>
      <x:c r="I6" s="10" t="n">
        <x:f>'Assumptions'!I84</x:f>
        <x:v>5</x:v>
      </x:c>
      <x:c r="J6" s="10" t="n">
        <x:f>'Assumptions'!J84</x:f>
        <x:v>6</x:v>
      </x:c>
      <x:c r="K6" s="10" t="n">
        <x:f>'Assumptions'!K84</x:f>
        <x:v>7</x:v>
      </x:c>
      <x:c r="L6" s="10" t="n">
        <x:f>'Assumptions'!L84</x:f>
        <x:v>8</x:v>
      </x:c>
      <x:c r="M6" s="10" t="n">
        <x:f>'Assumptions'!M84</x:f>
        <x:v>9</x:v>
      </x:c>
      <x:c r="N6" s="10" t="n">
        <x:f>'Assumptions'!N84</x:f>
        <x:v>10</x:v>
      </x:c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/>
      <x:c r="B8" s="2"/>
      <x:c r="C8" s="2" t="str">
        <x:v>Debt roll-forward difference</x:v>
      </x:c>
      <x:c r="D8" s="65" t="n">
        <x:f>'Debt'!D12+'Debt'!D13-'Debt'!D15-'Debt'!D17-'Debt'!D18</x:f>
        <x:v>0</x:v>
      </x:c>
      <x:c r="E8" s="65" t="n">
        <x:f>'Debt'!E12+'Debt'!E13-'Debt'!E15-'Debt'!E17-'Debt'!E18</x:f>
        <x:v>0</x:v>
      </x:c>
      <x:c r="F8" s="65" t="n">
        <x:f>'Debt'!F12+'Debt'!F13-'Debt'!F15-'Debt'!F17-'Debt'!F18</x:f>
        <x:v>0</x:v>
      </x:c>
      <x:c r="G8" s="65" t="n">
        <x:f>'Debt'!G12+'Debt'!G13-'Debt'!G15-'Debt'!G17-'Debt'!G18</x:f>
        <x:v>0</x:v>
      </x:c>
      <x:c r="H8" s="65" t="n">
        <x:f>'Debt'!H12+'Debt'!H13-'Debt'!H15-'Debt'!H17-'Debt'!H18</x:f>
        <x:v>0</x:v>
      </x:c>
      <x:c r="I8" s="65" t="n">
        <x:f>'Debt'!I12+'Debt'!I13-'Debt'!I15-'Debt'!I17-'Debt'!I18</x:f>
        <x:v>0</x:v>
      </x:c>
      <x:c r="J8" s="65" t="n">
        <x:f>'Debt'!J12+'Debt'!J13-'Debt'!J15-'Debt'!J17-'Debt'!J18</x:f>
        <x:v>0</x:v>
      </x:c>
      <x:c r="K8" s="65" t="n">
        <x:f>'Debt'!K12+'Debt'!K13-'Debt'!K15-'Debt'!K17-'Debt'!K18</x:f>
        <x:v>0</x:v>
      </x:c>
      <x:c r="L8" s="65" t="n">
        <x:f>'Debt'!L12+'Debt'!L13-'Debt'!L15-'Debt'!L17-'Debt'!L18</x:f>
        <x:v>0</x:v>
      </x:c>
      <x:c r="M8" s="65" t="n">
        <x:f>'Debt'!M12+'Debt'!M13-'Debt'!M15-'Debt'!M17-'Debt'!M18</x:f>
        <x:v>0</x:v>
      </x:c>
      <x:c r="N8" s="65" t="n">
        <x:f>'Debt'!N12+'Debt'!N13-'Debt'!N15-'Debt'!N17-'Debt'!N18</x:f>
        <x:v>0</x:v>
      </x:c>
    </x:row>
    <x:row r="9" ht="22" customHeight="1">
      <x:c r="A9" s="2"/>
      <x:c r="B9" s="2"/>
      <x:c r="C9" s="2" t="str">
        <x:v>Equity cash-flow bridge difference</x:v>
      </x:c>
      <x:c r="D9" s="65" t="n">
        <x:f>'Returns'!D20-('Returns'!D13+'Debt'!D13-'Debt'!D19-'Debt'!D17-'Debt'!D24)</x:f>
        <x:v>0</x:v>
      </x:c>
      <x:c r="E9" s="65" t="n">
        <x:f>'Returns'!E20-('Returns'!E13+'Debt'!E13-'Debt'!E19-'Debt'!E17-'Debt'!E24)</x:f>
        <x:v>0</x:v>
      </x:c>
      <x:c r="F9" s="65" t="n">
        <x:f>'Returns'!F20-('Returns'!F13+'Debt'!F13-'Debt'!F19-'Debt'!F17-'Debt'!F24)</x:f>
        <x:v>0</x:v>
      </x:c>
      <x:c r="G9" s="65" t="n">
        <x:f>'Returns'!G20-('Returns'!G13+'Debt'!G13-'Debt'!G19-'Debt'!G17-'Debt'!G24)</x:f>
        <x:v>0</x:v>
      </x:c>
      <x:c r="H9" s="65" t="n">
        <x:f>'Returns'!H20-('Returns'!H13+'Debt'!H13-'Debt'!H19-'Debt'!H17-'Debt'!H24)</x:f>
        <x:v>0</x:v>
      </x:c>
      <x:c r="I9" s="65" t="n">
        <x:f>'Returns'!I20-('Returns'!I13+'Debt'!I13-'Debt'!I19-'Debt'!I17-'Debt'!I24)</x:f>
        <x:v>0</x:v>
      </x:c>
      <x:c r="J9" s="65" t="n">
        <x:f>'Returns'!J20-('Returns'!J13+'Debt'!J13-'Debt'!J19-'Debt'!J17-'Debt'!J24)</x:f>
        <x:v>0</x:v>
      </x:c>
      <x:c r="K9" s="65" t="n">
        <x:f>'Returns'!K20-('Returns'!K13+'Debt'!K13-'Debt'!K19-'Debt'!K17-'Debt'!K24)</x:f>
        <x:v>0</x:v>
      </x:c>
      <x:c r="L9" s="65" t="n">
        <x:f>'Returns'!L20-('Returns'!L13+'Debt'!L13-'Debt'!L19-'Debt'!L17-'Debt'!L24)</x:f>
        <x:v>0</x:v>
      </x:c>
      <x:c r="M9" s="65" t="n">
        <x:f>'Returns'!M20-('Returns'!M13+'Debt'!M13-'Debt'!M19-'Debt'!M17-'Debt'!M24)</x:f>
        <x:v>0</x:v>
      </x:c>
      <x:c r="N9" s="65" t="n">
        <x:f>'Returns'!N20-('Returns'!N13+'Debt'!N13-'Debt'!N19-'Debt'!N17-'Debt'!N24)</x:f>
        <x:v>0</x:v>
      </x:c>
    </x:row>
    <x:row r="10" ht="22" customHeight="1">
      <x:c r="A10" s="2"/>
      <x:c r="B10" s="2"/>
      <x:c r="C10" s="2" t="str">
        <x:v>CapEx allocation difference</x:v>
      </x:c>
      <x:c r="D10" s="65" t="n">
        <x:f>'Construction'!D10-SUM('Construction'!D12:D26)</x:f>
        <x:v>0</x:v>
      </x:c>
      <x:c r="E10" s="65" t="n">
        <x:f>'Construction'!E10-SUM('Construction'!E12:E26)</x:f>
        <x:v>0</x:v>
      </x:c>
      <x:c r="F10" s="65" t="n">
        <x:f>'Construction'!F10-SUM('Construction'!F12:F26)</x:f>
        <x:v>0</x:v>
      </x:c>
      <x:c r="G10" s="65" t="n">
        <x:f>'Construction'!G10-SUM('Construction'!G12:G26)</x:f>
        <x:v>0</x:v>
      </x:c>
      <x:c r="H10" s="65" t="n">
        <x:f>'Construction'!H10-SUM('Construction'!H12:H26)</x:f>
        <x:v>0</x:v>
      </x:c>
      <x:c r="I10" s="65" t="n">
        <x:f>'Construction'!I10-SUM('Construction'!I12:I26)</x:f>
        <x:v>0</x:v>
      </x:c>
      <x:c r="J10" s="65" t="n">
        <x:f>'Construction'!J10-SUM('Construction'!J12:J26)</x:f>
        <x:v>0</x:v>
      </x:c>
      <x:c r="K10" s="65" t="n">
        <x:f>'Construction'!K10-SUM('Construction'!K12:K26)</x:f>
        <x:v>0</x:v>
      </x:c>
      <x:c r="L10" s="65" t="n">
        <x:f>'Construction'!L10-SUM('Construction'!L12:L26)</x:f>
        <x:v>0</x:v>
      </x:c>
      <x:c r="M10" s="65" t="n">
        <x:f>'Construction'!M10-SUM('Construction'!M12:M26)</x:f>
        <x:v>0</x:v>
      </x:c>
      <x:c r="N10" s="65" t="n">
        <x:f>'Construction'!N10-SUM('Construction'!N12:N26)</x:f>
        <x:v>0</x:v>
      </x:c>
    </x:row>
    <x:row r="11" ht="22" customHeight="1">
      <x:c r="A11" s="2"/>
      <x:c r="B11" s="2"/>
      <x:c r="C11" s="2" t="str">
        <x:v>CFADS bridge difference</x:v>
      </x:c>
      <x:c r="D11" s="65" t="n">
        <x:f>'Operations'!D57-('Operations'!D52-'Operations'!D53-'Operations'!D54-'Operations'!D56)</x:f>
        <x:v>0</x:v>
      </x:c>
      <x:c r="E11" s="65" t="n">
        <x:f>'Operations'!E57-('Operations'!E52-'Operations'!E53-'Operations'!E54-'Operations'!E56)</x:f>
        <x:v>0</x:v>
      </x:c>
      <x:c r="F11" s="65" t="n">
        <x:f>'Operations'!F57-('Operations'!F52-'Operations'!F53-'Operations'!F54-'Operations'!F56)</x:f>
        <x:v>0</x:v>
      </x:c>
      <x:c r="G11" s="65" t="n">
        <x:f>'Operations'!G57-('Operations'!G52-'Operations'!G53-'Operations'!G54-'Operations'!G56)</x:f>
        <x:v>0</x:v>
      </x:c>
      <x:c r="H11" s="65" t="n">
        <x:f>'Operations'!H57-('Operations'!H52-'Operations'!H53-'Operations'!H54-'Operations'!H56)</x:f>
        <x:v>0</x:v>
      </x:c>
      <x:c r="I11" s="65" t="n">
        <x:f>'Operations'!I57-('Operations'!I52-'Operations'!I53-'Operations'!I54-'Operations'!I56)</x:f>
        <x:v>0</x:v>
      </x:c>
      <x:c r="J11" s="65" t="n">
        <x:f>'Operations'!J57-('Operations'!J52-'Operations'!J53-'Operations'!J54-'Operations'!J56)</x:f>
        <x:v>0</x:v>
      </x:c>
      <x:c r="K11" s="65" t="n">
        <x:f>'Operations'!K57-('Operations'!K52-'Operations'!K53-'Operations'!K54-'Operations'!K56)</x:f>
        <x:v>0</x:v>
      </x:c>
      <x:c r="L11" s="65" t="n">
        <x:f>'Operations'!L57-('Operations'!L52-'Operations'!L53-'Operations'!L54-'Operations'!L56)</x:f>
        <x:v>0</x:v>
      </x:c>
      <x:c r="M11" s="65" t="n">
        <x:f>'Operations'!M57-('Operations'!M52-'Operations'!M53-'Operations'!M54-'Operations'!M56)</x:f>
        <x:v>0</x:v>
      </x:c>
      <x:c r="N11" s="65" t="n">
        <x:f>'Operations'!N57-('Operations'!N52-'Operations'!N53-'Operations'!N54-'Operations'!N56)</x:f>
        <x:v>0</x:v>
      </x:c>
    </x:row>
    <x:row r="12" ht="22" customHeight="1">
      <x:c r="A12" s="2"/>
      <x:c r="B12" s="2"/>
      <x:c r="C12" s="2" t="str">
        <x:v>Principal / balance reconciliation</x:v>
      </x:c>
      <x:c r="D12" s="65" t="n">
        <x:f>SUM('Debt'!$D$13:D13)-SUM('Debt'!$D$15:D15)-SUM('Debt'!$D$17:D17)-'Debt'!D18</x:f>
        <x:v>0</x:v>
      </x:c>
      <x:c r="E12" s="65" t="n">
        <x:f>SUM('Debt'!$D$13:E13)-SUM('Debt'!$D$15:E15)-SUM('Debt'!$D$17:E17)-'Debt'!E18</x:f>
        <x:v>0</x:v>
      </x:c>
      <x:c r="F12" s="65" t="n">
        <x:f>SUM('Debt'!$D$13:F13)-SUM('Debt'!$D$15:F15)-SUM('Debt'!$D$17:F17)-'Debt'!F18</x:f>
        <x:v>0</x:v>
      </x:c>
      <x:c r="G12" s="65" t="n">
        <x:f>SUM('Debt'!$D$13:G13)-SUM('Debt'!$D$15:G15)-SUM('Debt'!$D$17:G17)-'Debt'!G18</x:f>
        <x:v>0</x:v>
      </x:c>
      <x:c r="H12" s="65" t="n">
        <x:f>SUM('Debt'!$D$13:H13)-SUM('Debt'!$D$15:H15)-SUM('Debt'!$D$17:H17)-'Debt'!H18</x:f>
        <x:v>0</x:v>
      </x:c>
      <x:c r="I12" s="65" t="n">
        <x:f>SUM('Debt'!$D$13:I13)-SUM('Debt'!$D$15:I15)-SUM('Debt'!$D$17:I17)-'Debt'!I18</x:f>
        <x:v>0</x:v>
      </x:c>
      <x:c r="J12" s="65" t="n">
        <x:f>SUM('Debt'!$D$13:J13)-SUM('Debt'!$D$15:J15)-SUM('Debt'!$D$17:J17)-'Debt'!J18</x:f>
        <x:v>-7.450580596923828e-9</x:v>
      </x:c>
      <x:c r="K12" s="65" t="n">
        <x:f>SUM('Debt'!$D$13:K13)-SUM('Debt'!$D$15:K15)-SUM('Debt'!$D$17:K17)-'Debt'!K18</x:f>
        <x:v>-7.450580596923828e-9</x:v>
      </x:c>
      <x:c r="L12" s="65" t="n">
        <x:f>SUM('Debt'!$D$13:L13)-SUM('Debt'!$D$15:L15)-SUM('Debt'!$D$17:L17)-'Debt'!L18</x:f>
        <x:v>-7.450580596923828e-9</x:v>
      </x:c>
      <x:c r="M12" s="65" t="n">
        <x:f>SUM('Debt'!$D$13:M13)-SUM('Debt'!$D$15:M15)-SUM('Debt'!$D$17:M17)-'Debt'!M18</x:f>
        <x:v>-5.587935447692871e-9</x:v>
      </x:c>
      <x:c r="N12" s="65" t="n">
        <x:f>SUM('Debt'!$D$13:N13)-SUM('Debt'!$D$15:N15)-SUM('Debt'!$D$17:N17)-'Debt'!N18</x:f>
        <x:v>-7.450580596923828e-9</x:v>
      </x:c>
    </x:row>
    <x:row r="13" ht="22" customHeight="1">
      <x:c r="A13" s="2"/>
      <x:c r="B13" s="2"/>
      <x:c r="C13" s="2" t="str">
        <x:v>Capacity headroom (MW)</x:v>
      </x:c>
      <x:c r="D13" s="4" t="n">
        <x:f>SUM('Assumptions'!D11:D12)-'Operations'!D46</x:f>
        <x:v>10</x:v>
      </x:c>
      <x:c r="E13" s="4" t="n">
        <x:f>SUM('Assumptions'!D11:D12)-'Operations'!E46</x:f>
        <x:v>10</x:v>
      </x:c>
      <x:c r="F13" s="4" t="n">
        <x:f>SUM('Assumptions'!D11:D12)-'Operations'!F46</x:f>
        <x:v>5</x:v>
      </x:c>
      <x:c r="G13" s="4" t="n">
        <x:f>SUM('Assumptions'!D11:D12)-'Operations'!G46</x:f>
        <x:v>5</x:v>
      </x:c>
      <x:c r="H13" s="4" t="n">
        <x:f>SUM('Assumptions'!D11:D12)-'Operations'!H46</x:f>
        <x:v>0</x:v>
      </x:c>
      <x:c r="I13" s="4" t="n">
        <x:f>SUM('Assumptions'!D11:D12)-'Operations'!I46</x:f>
        <x:v>0</x:v>
      </x:c>
      <x:c r="J13" s="4" t="n">
        <x:f>SUM('Assumptions'!D11:D12)-'Operations'!J46</x:f>
        <x:v>0</x:v>
      </x:c>
      <x:c r="K13" s="4" t="n">
        <x:f>SUM('Assumptions'!D11:D12)-'Operations'!K46</x:f>
        <x:v>0</x:v>
      </x:c>
      <x:c r="L13" s="4" t="n">
        <x:f>SUM('Assumptions'!D11:D12)-'Operations'!L46</x:f>
        <x:v>0</x:v>
      </x:c>
      <x:c r="M13" s="4" t="n">
        <x:f>SUM('Assumptions'!D11:D12)-'Operations'!M46</x:f>
        <x:v>0</x:v>
      </x:c>
      <x:c r="N13" s="4" t="n">
        <x:f>SUM('Assumptions'!D11:D12)-'Operations'!N46</x:f>
        <x:v>0</x:v>
      </x:c>
    </x:row>
    <x:row r="14" ht="22" customHeight="1">
      <x:c r="A14" s="2"/>
      <x:c r="B14" s="2"/>
      <x:c r="C14" s="2" t="str">
        <x:v>Leased capacity headroom (MW)</x:v>
      </x:c>
      <x:c r="D14" s="4" t="n">
        <x:f>'Operations'!D46-'Operations'!D47</x:f>
        <x:v>0</x:v>
      </x:c>
      <x:c r="E14" s="4" t="n">
        <x:f>'Operations'!E46-'Operations'!E47</x:f>
        <x:v>0</x:v>
      </x:c>
      <x:c r="F14" s="4" t="n">
        <x:f>'Operations'!F46-'Operations'!F47</x:f>
        <x:v>3</x:v>
      </x:c>
      <x:c r="G14" s="4" t="n">
        <x:f>'Operations'!G46-'Operations'!G47</x:f>
        <x:v>1.75</x:v>
      </x:c>
      <x:c r="H14" s="4" t="n">
        <x:f>'Operations'!H46-'Operations'!H47</x:f>
        <x:v>4</x:v>
      </x:c>
      <x:c r="I14" s="4" t="n">
        <x:f>'Operations'!I46-'Operations'!I47</x:f>
        <x:v>2.25</x:v>
      </x:c>
      <x:c r="J14" s="4" t="n">
        <x:f>'Operations'!J46-'Operations'!J47</x:f>
        <x:v>1.25</x:v>
      </x:c>
      <x:c r="K14" s="4" t="n">
        <x:f>'Operations'!K46-'Operations'!K47</x:f>
        <x:v>0.75</x:v>
      </x:c>
      <x:c r="L14" s="4" t="n">
        <x:f>'Operations'!L46-'Operations'!L47</x:f>
        <x:v>0.5</x:v>
      </x:c>
      <x:c r="M14" s="4" t="n">
        <x:f>'Operations'!M46-'Operations'!M47</x:f>
        <x:v>0.5</x:v>
      </x:c>
      <x:c r="N14" s="4" t="n">
        <x:f>'Operations'!N46-'Operations'!N47</x:f>
        <x:v>0.5</x:v>
      </x:c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2" customHeight="1">
      <x:c r="A18" s="2"/>
      <x:c r="B18" s="2"/>
      <x:c r="C18" s="2" t="str">
        <x:v>Input validation</x:v>
      </x:c>
      <x:c r="D18" s="64" t="str">
        <x:f>'Assumptions'!D7</x:f>
        <x:v>Valid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2" customHeight="1">
      <x:c r="A19" s="2"/>
      <x:c r="B19" s="2"/>
      <x:c r="C19" s="2" t="str">
        <x:v>Phase 1 spend allocation less 100%</x:v>
      </x:c>
      <x:c r="D19" s="65" t="n">
        <x:f>SUM('Assumptions'!D85:N85)-1</x:f>
        <x:v>0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2" customHeight="1">
      <x:c r="A20" s="2"/>
      <x:c r="B20" s="2"/>
      <x:c r="C20" s="2" t="str">
        <x:v>Phase 2 spend allocation less 100%</x:v>
      </x:c>
      <x:c r="D20" s="65" t="n">
        <x:f>SUM('Assumptions'!D88:N88)-1</x:f>
        <x:v>0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2" customHeight="1">
      <x:c r="A21" s="2"/>
      <x:c r="B21" s="2"/>
      <x:c r="C21" s="2" t="str">
        <x:v>Cost categories less 100%</x:v>
      </x:c>
      <x:c r="D21" s="65" t="n">
        <x:f>SUM('Assumptions'!D93:D107)-1</x:f>
        <x:v>0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2" customHeight="1">
      <x:c r="A22" s="2"/>
      <x:c r="B22" s="2"/>
      <x:c r="C22" s="2" t="str">
        <x:v>Sources less uses</x:v>
      </x:c>
      <x:c r="D22" s="65" t="n">
        <x:f>'Summary'!E32+'Summary'!E33-'Summary'!E31</x:f>
        <x:v>0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2" t="str">
        <x:v>Exit debt remaining</x:v>
      </x:c>
      <x:c r="D23" s="65" t="n">
        <x:f>INDEX('Debt'!D18:N18,1,'Assumptions'!D10+1)</x:f>
        <x:v>0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/>
      <x:c r="B24" s="2"/>
      <x:c r="C24" s="2" t="str">
        <x:v>Construction debt less commitment</x:v>
      </x:c>
      <x:c r="D24" s="65" t="n">
        <x:f>SUM('Debt'!D13:N13)-'Debt'!D8</x:f>
        <x:v>0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2" customHeight="1">
      <x:c r="A25" s="2"/>
      <x:c r="B25" s="2"/>
      <x:c r="C25" s="2" t="str">
        <x:v>IRR sign-change count</x:v>
      </x:c>
      <x:c r="D25" s="65" t="n">
        <x:f>SUM('Returns'!D28:N28)</x:f>
        <x:v>1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2" customHeight="1">
      <x:c r="A26" s="2"/>
      <x:c r="B26" s="2"/>
      <x:c r="C26" s="2" t="str">
        <x:v>Equity IRR NPV residual</x:v>
      </x:c>
      <x:c r="D26" s="65" t="n">
        <x:f>IF(ISNUMBER('Returns'!D34),NPV('Returns'!D34,'Returns'!E20:N20)+'Returns'!D20,"n.a.")</x:f>
        <x:v>0.02662324160337448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 t="str">
        <x:v>Cash reconciliation tolerance: $0.01. IRR NPV residual tolerance: $1.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2" customHeight="1">
      <x:c r="A30" s="2"/>
      <x:c r="B30" s="2"/>
      <x:c r="C30" s="2" t="str">
        <x:v>Covenant failures are economic risks, not model reconciliation errors.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conditionalFormatting sqref="D8:N12">
    <x:cfRule type="cellIs" dxfId="3" priority="1" operator="notBetween">
      <x:formula>-0.01</x:formula>
      <x:formula>0.01</x:formula>
    </x:cfRule>
  </x:conditionalFormatting>
  <x:conditionalFormatting sqref="D13:N14">
    <x:cfRule type="cellIs" dxfId="4" priority="2" operator="lessThan">
      <x:formula>0</x:formula>
    </x:cfRule>
  </x:conditionalFormatting>
  <x:conditionalFormatting sqref="D19:D19">
    <x:cfRule type="cellIs" dxfId="6" priority="3" operator="notBetween">
      <x:formula>-0.01</x:formula>
      <x:formula>0.01</x:formula>
    </x:cfRule>
  </x:conditionalFormatting>
  <x:conditionalFormatting sqref="D20:D20">
    <x:cfRule type="cellIs" dxfId="7" priority="4" operator="notBetween">
      <x:formula>-0.01</x:formula>
      <x:formula>0.01</x:formula>
    </x:cfRule>
  </x:conditionalFormatting>
  <x:conditionalFormatting sqref="D21:D21">
    <x:cfRule type="cellIs" dxfId="8" priority="5" operator="notBetween">
      <x:formula>-0.01</x:formula>
      <x:formula>0.01</x:formula>
    </x:cfRule>
  </x:conditionalFormatting>
  <x:conditionalFormatting sqref="D22:D22">
    <x:cfRule type="cellIs" dxfId="9" priority="6" operator="notBetween">
      <x:formula>-0.01</x:formula>
      <x:formula>0.01</x:formula>
    </x:cfRule>
  </x:conditionalFormatting>
  <x:conditionalFormatting sqref="D23:D23">
    <x:cfRule type="cellIs" dxfId="10" priority="7" operator="notBetween">
      <x:formula>-0.01</x:formula>
      <x:formula>0.01</x:formula>
    </x:cfRule>
  </x:conditionalFormatting>
  <x:conditionalFormatting sqref="D24:D24">
    <x:cfRule type="cellIs" dxfId="11" priority="8" operator="notBetween">
      <x:formula>-0.01</x:formula>
      <x:formula>0.01</x:formula>
    </x:cfRule>
  </x:conditionalFormatting>
  <x:conditionalFormatting sqref="D26:D26">
    <x:cfRule type="cellIs" dxfId="12" priority="9" operator="notBetween">
      <x:formula>-1</x:formula>
      <x:formula>1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Benchmarks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0" customHeight="1">
      <x:c r="A7" s="2"/>
      <x:c r="B7" s="2"/>
      <x:c r="C7" s="9" t="str">
        <x:v>S1</x:v>
      </x:c>
      <x:c r="D7" s="9" t="str">
        <x:v>Turner &amp; Townsend Data Centre Construction Cost Index 2026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4" customHeight="1">
      <x:c r="A8" s="2"/>
      <x:c r="B8" s="2"/>
      <x:c r="C8" s="2" t="str">
        <x:v>Published benchmark</x:v>
      </x:c>
      <x:c r="D8" s="66" t="str">
        <x:v>US average construction cost: $12.08/W.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4" customHeight="1">
      <x:c r="A9" s="2"/>
      <x:c r="B9" s="2"/>
      <x:c r="C9" s="2" t="str">
        <x:v>Model use and limitations</x:v>
      </x:c>
      <x:c r="D9" s="66" t="str">
        <x:v>$13.44 million/MW is the assumed non-land development budget. Site acquisition and enabling costs are added separately. It is not a Midlothian bid or an AI-specific facility quote.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44" customHeight="1">
      <x:c r="A10" s="2"/>
      <x:c r="B10" s="2"/>
      <x:c r="C10" s="2" t="str">
        <x:v>Source URL</x:v>
      </x:c>
      <x:c r="D10" s="66" t="str">
        <x:v>https://reports.turnerandtownsend.com/data-centre-construction-cost-index-2026/ai-data-centres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2" customHeight="1">
      <x:c r="A11" s="2"/>
      <x:c r="B11" s="2"/>
      <x:c r="C11" s="2" t="str">
        <x:v>Accessed</x:v>
      </x:c>
      <x:c r="D11" s="2" t="str">
        <x:v>October 28, 2026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0" customHeight="1">
      <x:c r="A13" s="2"/>
      <x:c r="B13" s="2"/>
      <x:c r="C13" s="9" t="str">
        <x:v>S2</x:v>
      </x:c>
      <x:c r="D13" s="9" t="str">
        <x:v>Turner &amp; Townsend 2026 methodology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44" customHeight="1">
      <x:c r="A14" s="2"/>
      <x:c r="B14" s="2"/>
      <x:c r="C14" s="2" t="str">
        <x:v>Published benchmark</x:v>
      </x:c>
      <x:c r="D14" s="66" t="str">
        <x:v>Typical benchmark facility is about 60 MW IT load. Land, utility works, site works, active IT equipment and professional fees are excluded.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44" customHeight="1">
      <x:c r="A15" s="2"/>
      <x:c r="B15" s="2"/>
      <x:c r="C15" s="2" t="str">
        <x:v>Model use and limitations</x:v>
      </x:c>
      <x:c r="D15" s="66" t="str">
        <x:v>The 10 MW case is smaller and includes land, utility interconnection, engineering and contingency. Customer servers and GPUs are excluded. Benchmark and project scope are not equivalent.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44" customHeight="1">
      <x:c r="A16" s="2"/>
      <x:c r="B16" s="2"/>
      <x:c r="C16" s="2" t="str">
        <x:v>Source URL</x:v>
      </x:c>
      <x:c r="D16" s="66" t="str">
        <x:v>https://reports.turnerandtownsend.com/data-centre-construction-cost-index-2026-us/methodology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2" customHeight="1">
      <x:c r="A17" s="2"/>
      <x:c r="B17" s="2"/>
      <x:c r="C17" s="2" t="str">
        <x:v>Accessed</x:v>
      </x:c>
      <x:c r="D17" s="2" t="str">
        <x:v>October 28, 2026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30" customHeight="1">
      <x:c r="A19" s="2"/>
      <x:c r="B19" s="2"/>
      <x:c r="C19" s="9" t="str">
        <x:v>S3</x:v>
      </x:c>
      <x:c r="D19" s="9" t="str">
        <x:v>CBRE North American Data Center Trends 2025 release, February 26, 2026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44" customHeight="1">
      <x:c r="A20" s="2"/>
      <x:c r="B20" s="2"/>
      <x:c r="C20" s="2" t="str">
        <x:v>Published benchmark</x:v>
      </x:c>
      <x:c r="D20" s="66" t="str">
        <x:v>National average lease rate: $194.95/kW/month. Primary-market vacancy: 1.4%.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44" customHeight="1">
      <x:c r="A21" s="2"/>
      <x:c r="B21" s="2"/>
      <x:c r="C21" s="2" t="str">
        <x:v>Model use and limitations</x:v>
      </x:c>
      <x:c r="D21" s="66" t="str">
        <x:v>$225/kW/month is an uncontracted analyst assumption, not a Midlothian comparable. Tenant size, power charges, service level and lease terms differ. No separate power reimbursement is credited.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44" customHeight="1">
      <x:c r="A22" s="2"/>
      <x:c r="B22" s="2"/>
      <x:c r="C22" s="2" t="str">
        <x:v>Source URL</x:v>
      </x:c>
      <x:c r="D22" s="66" t="str">
        <x:v>https://www.cbre.com/press-releases/fast-growing-north-american-data-center-market-set-records-in-2025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2" t="str">
        <x:v>Accessed</x:v>
      </x:c>
      <x:c r="D23" s="2" t="str">
        <x:v>October 28, 2026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30" customHeight="1">
      <x:c r="A25" s="2"/>
      <x:c r="B25" s="2"/>
      <x:c r="C25" s="9" t="str">
        <x:v>S4</x:v>
      </x:c>
      <x:c r="D25" s="9" t="str">
        <x:v>Site utility diligence — analyst assumption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44" customHeight="1">
      <x:c r="A26" s="2"/>
      <x:c r="B26" s="2"/>
      <x:c r="C26" s="2" t="str">
        <x:v>Published benchmark</x:v>
      </x:c>
      <x:c r="D26" s="66" t="str">
        <x:v>Broker listing states water available; it provides no binding electric capacity, tariff, fiber or energization commitment.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44" customHeight="1">
      <x:c r="A27" s="2"/>
      <x:c r="B27" s="2"/>
      <x:c r="C27" s="2" t="str">
        <x:v>Model use and limitations</x:v>
      </x:c>
      <x:c r="D27" s="66" t="str">
        <x:v>$0.075/kWh is an unverified allowance, not a Virginia tariff. No Texas electricity benchmark is used for this parcel.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44" customHeight="1">
      <x:c r="A28" s="2"/>
      <x:c r="B28" s="2"/>
      <x:c r="C28" s="2" t="str">
        <x:v>Source URL</x:v>
      </x:c>
      <x:c r="D28" s="66" t="str">
        <x:v>https://commonwealthcommercial.com/property/16000-midlothian-turnpike/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 t="str">
        <x:v>Accessed</x:v>
      </x:c>
      <x:c r="D29" s="2" t="str">
        <x:v>October 28, 2026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30" customHeight="1">
      <x:c r="A31" s="2"/>
      <x:c r="B31" s="2"/>
      <x:c r="C31" s="9" t="str">
        <x:v>S5</x:v>
      </x:c>
      <x:c r="D31" s="9" t="str">
        <x:v>Uptime Institute Global Data Center Survey 2025, page 7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44" customHeight="1">
      <x:c r="A32" s="2"/>
      <x:c r="B32" s="2"/>
      <x:c r="C32" s="2" t="str">
        <x:v>Published benchmark</x:v>
      </x:c>
      <x:c r="D32" s="66" t="str">
        <x:v>Survey weighted-average annual PUE: 1.54.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44" customHeight="1">
      <x:c r="A33" s="2"/>
      <x:c r="B33" s="2"/>
      <x:c r="C33" s="2" t="str">
        <x:v>Model use and limitations</x:v>
      </x:c>
      <x:c r="D33" s="66" t="str">
        <x:v>PUE 1.35 is an unverified design target, better than the survey average. It requires engineering support and should be stressed before investment.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44" customHeight="1">
      <x:c r="A34" s="2"/>
      <x:c r="B34" s="2"/>
      <x:c r="C34" s="2" t="str">
        <x:v>Source URL</x:v>
      </x:c>
      <x:c r="D34" s="66" t="str">
        <x:v>https://datacenter.uptimeinstitute.com/rs/711-RIA-145/images/2025.Annual.Survey.Report.pdf?version=0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 t="str">
        <x:v>Accessed</x:v>
      </x:c>
      <x:c r="D35" s="2" t="str">
        <x:v>October 28, 2026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30" customHeight="1">
      <x:c r="A37" s="2"/>
      <x:c r="B37" s="2"/>
      <x:c r="C37" s="9" t="str">
        <x:v>S6</x:v>
      </x:c>
      <x:c r="D37" s="9" t="str">
        <x:v>PowerStack The Data Center Power Reckoning Has Begun</x:v>
      </x:c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44" customHeight="1">
      <x:c r="A38" s="2"/>
      <x:c r="B38" s="2"/>
      <x:c r="C38" s="2" t="str">
        <x:v>Published benchmark</x:v>
      </x:c>
      <x:c r="D38" s="66" t="str">
        <x:v>User-supplied industry commentary on power access and delivery risk.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44" customHeight="1">
      <x:c r="A39" s="2"/>
      <x:c r="B39" s="2"/>
      <x:c r="C39" s="2" t="str">
        <x:v>Model use and limitations</x:v>
      </x:c>
      <x:c r="D39" s="66" t="str">
        <x:v>Used to frame diligence questions only. No queue duration, microgrid saving or vendor performance claim is embedded in the model.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44" customHeight="1">
      <x:c r="A40" s="2"/>
      <x:c r="B40" s="2"/>
      <x:c r="C40" s="2" t="str">
        <x:v>Source URL</x:v>
      </x:c>
      <x:c r="D40" s="66" t="str">
        <x:v>https://www.powerstackgrids.com/post/the-data-center-power-reckoning-has-begun-powerstack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 t="str">
        <x:v>Accessed</x:v>
      </x:c>
      <x:c r="D41" s="2" t="str">
        <x:v>October 28, 2026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30" customHeight="1">
      <x:c r="A43" s="2"/>
      <x:c r="B43" s="2"/>
      <x:c r="C43" s="9" t="str">
        <x:v>S7</x:v>
      </x:c>
      <x:c r="D43" s="9" t="str">
        <x:v>Commonwealth Commercial active parcel listing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44" customHeight="1">
      <x:c r="A44" s="2"/>
      <x:c r="B44" s="2"/>
      <x:c r="C44" s="2" t="str">
        <x:v>Published benchmark</x:v>
      </x:c>
      <x:c r="D44" s="66" t="str">
        <x:v>16000 Midlothian Turnpike, Midlothian, VA 23113. 28.693 acres; advertised I-2 industrial zoning and water available. Page displays For Sale.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44" customHeight="1">
      <x:c r="A45" s="2"/>
      <x:c r="B45" s="2"/>
      <x:c r="C45" s="2" t="str">
        <x:v>Model use and limitations</x:v>
      </x:c>
      <x:c r="D45" s="66" t="str">
        <x:v>Listing checked October 28, 2026. Marketing statements are not independent zoning or utility verification. No broker contact or site control is represented.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44" customHeight="1">
      <x:c r="A46" s="2"/>
      <x:c r="B46" s="2"/>
      <x:c r="C46" s="2" t="str">
        <x:v>Source URL</x:v>
      </x:c>
      <x:c r="D46" s="66" t="str">
        <x:v>https://commonwealthcommercial.com/property/16000-midlothian-turnpike/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 t="str">
        <x:v>Accessed</x:v>
      </x:c>
      <x:c r="D47" s="2" t="str">
        <x:v>October 28, 2026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30" customHeight="1">
      <x:c r="A49" s="2"/>
      <x:c r="B49" s="2"/>
      <x:c r="C49" s="9" t="str">
        <x:v>S8</x:v>
      </x:c>
      <x:c r="D49" s="9" t="str">
        <x:v>Broker offering flyer — published asking price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44" customHeight="1">
      <x:c r="A50" s="2"/>
      <x:c r="B50" s="2"/>
      <x:c r="C50" s="2" t="str">
        <x:v>Published benchmark</x:v>
      </x:c>
      <x:c r="D50" s="66" t="str">
        <x:v>$9,800,000 asking price for 28.693 acres.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44" customHeight="1">
      <x:c r="A51" s="2"/>
      <x:c r="B51" s="2"/>
      <x:c r="C51" s="2" t="str">
        <x:v>Model use and limitations</x:v>
      </x:c>
      <x:c r="D51" s="66" t="str">
        <x:v>Asking price is the acquisition input, not an appraisal or agreed purchase price. Reconfirm availability and price before relying on the case.</x:v>
      </x:c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44" customHeight="1">
      <x:c r="A52" s="2"/>
      <x:c r="B52" s="2"/>
      <x:c r="C52" s="2" t="str">
        <x:v>Source URL</x:v>
      </x:c>
      <x:c r="D52" s="66" t="str">
        <x:v>https://resources.thalhimer.com/marketing/Richmond/flyer3Chesterfield16000Midlothianflyernew16000MidlothianTpke.pdf</x:v>
      </x:c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 t="str">
        <x:v>Accessed</x:v>
      </x:c>
      <x:c r="D53" s="2" t="str">
        <x:v>October 28, 2026</x:v>
      </x:c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87949B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2" hidden="0" customWidth="1"/>
    <x:col min="4" max="4" width="1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ReadMe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Case selected</x:v>
      </x:c>
      <x:c r="D4" s="4" t="str">
        <x:f>'Assumptions'!E5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2"/>
      <x:c r="B7" s="2"/>
      <x:c r="C7" s="2" t="str">
        <x:v>Scope</x:v>
      </x:c>
      <x:c r="D7" s="66" t="str">
        <x:v>Whole-parcel acquisition and two 5 MW phases. No existing campus cash flows. Site costs are separate from non-land construction.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4" customHeight="1">
      <x:c r="A8" s="2"/>
      <x:c r="B8" s="2"/>
      <x:c r="C8" s="2" t="str">
        <x:v>Source basis</x:v>
      </x:c>
      <x:c r="D8" s="66" t="str">
        <x:v>Analyst assumptions use public benchmarks for context. The Benchmarks tab records dates, sources and scope differences.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4" customHeight="1">
      <x:c r="A9" s="2"/>
      <x:c r="B9" s="2"/>
      <x:c r="C9" s="2" t="str">
        <x:v>Input use</x:v>
      </x:c>
      <x:c r="D9" s="66" t="str">
        <x:v>Select one case on Assumptions. Edit blue inputs. Neutral sensitivity controls are 1x and a zero rate shift.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4" customHeight="1">
      <x:c r="A10" s="2"/>
      <x:c r="B10" s="2"/>
      <x:c r="C10" s="2" t="str">
        <x:v>Timing</x:v>
      </x:c>
      <x:c r="D10" s="66" t="str">
        <x:v>Year 0 is the initial investment period. Annual cash flows use equal periods and year-end discounting thereafter.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34" customHeight="1">
      <x:c r="A11" s="2"/>
      <x:c r="B11" s="2"/>
      <x:c r="C11" s="2" t="str">
        <x:v>Rent and energy</x:v>
      </x:c>
      <x:c r="D11" s="66" t="str">
        <x:v>Rent bills leased MW with no separate power reimbursement. Energy uses leased MW times utilization times PUE.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34" customHeight="1">
      <x:c r="A12" s="2"/>
      <x:c r="B12" s="2"/>
      <x:c r="C12" s="2" t="str">
        <x:v>Escalation</x:v>
      </x:c>
      <x:c r="D12" s="66" t="str">
        <x:v>Rent escalates from Year 1. Fixed operating costs and power price do not escalate unless inputs are changed.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4" customHeight="1">
      <x:c r="A13" s="2"/>
      <x:c r="B13" s="2"/>
      <x:c r="C13" s="2" t="str">
        <x:v>Taxes</x:v>
      </x:c>
      <x:c r="D13" s="66" t="str">
        <x:v>Cash taxes equal positive EBITDA by phase times a proxy rate. This is not statutory federal or Virginia tax modeling.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34" customHeight="1">
      <x:c r="A14" s="2"/>
      <x:c r="B14" s="2"/>
      <x:c r="C14" s="2" t="str">
        <x:v>Tax limitations</x:v>
      </x:c>
      <x:c r="D14" s="66" t="str">
        <x:v>No depreciation, interest deduction, loss carryforward, tax credits or property-tax assessment model.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34" customHeight="1">
      <x:c r="A15" s="2"/>
      <x:c r="B15" s="2"/>
      <x:c r="C15" s="2" t="str">
        <x:v>Debt draws</x:v>
      </x:c>
      <x:c r="D15" s="66" t="str">
        <x:v>Debt funds a fixed share of construction CapEx. Fees and pre-operation interest are funded by equity.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34" customHeight="1">
      <x:c r="A16" s="2"/>
      <x:c r="B16" s="2"/>
      <x:c r="C16" s="2" t="str">
        <x:v>Interest timing</x:v>
      </x:c>
      <x:c r="D16" s="66" t="str">
        <x:v>Cash interest uses opening debt plus half the current-year draw. This annual convention is not a monthly draw model.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34" customHeight="1">
      <x:c r="A17" s="2"/>
      <x:c r="B17" s="2"/>
      <x:c r="C17" s="2" t="str">
        <x:v>Debt amortization</x:v>
      </x:c>
      <x:c r="D17" s="66" t="str">
        <x:v>Equal principal or level debt service begins after construction. Remaining debt is repaid at the selected exit year.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34" customHeight="1">
      <x:c r="A18" s="2"/>
      <x:c r="B18" s="2"/>
      <x:c r="C18" s="2" t="str">
        <x:v>Credit definitions</x:v>
      </x:c>
      <x:c r="D18" s="66" t="str">
        <x:v>CFADS excludes development CapEx and exit proceeds. DSCR includes cash interest and scheduled principal.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34" customHeight="1">
      <x:c r="A19" s="2"/>
      <x:c r="B19" s="2"/>
      <x:c r="C19" s="2" t="str">
        <x:v>Exit coverage</x:v>
      </x:c>
      <x:c r="D19" s="66" t="str">
        <x:v>Exit debt payoff is excluded from operating DSCR and separately deducted from equity realization.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34" customHeight="1">
      <x:c r="A20" s="2"/>
      <x:c r="B20" s="2"/>
      <x:c r="C20" s="2" t="str">
        <x:v>Financing limitations</x:v>
      </x:c>
      <x:c r="D20" s="66" t="str">
        <x:v>No DSRA, cash sweep, distribution lock-up, covenant cure, refinancing or commitment fee on undrawn debt.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34" customHeight="1">
      <x:c r="A21" s="2"/>
      <x:c r="B21" s="2"/>
      <x:c r="C21" s="2" t="str">
        <x:v>Equity flows</x:v>
      </x:c>
      <x:c r="D21" s="66" t="str">
        <x:v>Contributions and distributions are net annual cash deficits and surpluses. No sponsor promote or preferred waterfall.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34" customHeight="1">
      <x:c r="A22" s="2"/>
      <x:c r="B22" s="2"/>
      <x:c r="C22" s="2" t="str">
        <x:v>Returns</x:v>
      </x:c>
      <x:c r="D22" s="66" t="str">
        <x:v>IRR requires one sign change and both signs. MOIC is positive cash flows divided by absolute negative cash flows.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34" customHeight="1">
      <x:c r="A23" s="2"/>
      <x:c r="B23" s="2"/>
      <x:c r="C23" s="2" t="str">
        <x:v>Discounting</x:v>
      </x:c>
      <x:c r="D23" s="66" t="str">
        <x:v>NPV discounts Years 1–10 and adds Year 0 separately. IRR uses equal annual periods, not exact dates.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34" customHeight="1">
      <x:c r="A24" s="2"/>
      <x:c r="B24" s="2"/>
      <x:c r="C24" s="2" t="str">
        <x:v>Sensitivities</x:v>
      </x:c>
      <x:c r="D24" s="66" t="str">
        <x:v>Native two-variable Excel Data Tables reuse this single model. Enable Automatic calculation including data tables.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34" customHeight="1">
      <x:c r="A25" s="2"/>
      <x:c r="B25" s="2"/>
      <x:c r="C25" s="2" t="str">
        <x:v>Model review</x:v>
      </x:c>
      <x:c r="D25" s="66" t="str">
        <x:v>Audit checks observe reconciliations only. They do not feed forecasts or force schedules to balance.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34" customHeight="1">
      <x:c r="A26" s="2"/>
      <x:c r="B26" s="2"/>
      <x:c r="C26" s="2" t="str">
        <x:v>Power BI</x:v>
      </x:c>
      <x:c r="D26" s="66" t="str">
        <x:v>BI Export provides active-case 10 MW expansion data. The existing 20 MW PBIP starter is a separate case; replace its dataset to analyze this expansion.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34" customHeight="1">
      <x:c r="A27" s="2"/>
      <x:c r="B27" s="2"/>
      <x:c r="C27" s="2" t="str">
        <x:v>Power BI status</x:v>
      </x:c>
      <x:c r="D27" s="66" t="str">
        <x:v>The editable report package exists. Native Power BI Desktop validation and service publication remain pending.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34" customHeight="1">
      <x:c r="A28" s="2"/>
      <x:c r="B28" s="2"/>
      <x:c r="C28" s="2" t="str">
        <x:v>WD-40 companion</x:v>
      </x:c>
      <x:c r="D28" s="66" t="str">
        <x:v>Company and strategic analysis workstream for the SDSU CFA Institute Research Challenge.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34" customHeight="1">
      <x:c r="A29" s="2"/>
      <x:c r="B29" s="2"/>
      <x:c r="C29" s="2" t="str">
        <x:v>Research boundary</x:v>
      </x:c>
      <x:c r="D29" s="66" t="str">
        <x:v>The website presents the approved role and scope. Private WD-40 documents are not included in this workbook.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34" customHeight="1">
      <x:c r="A30" s="2"/>
      <x:c r="B30" s="2"/>
      <x:c r="C30" s="2" t="str">
        <x:v>Parcel diligence</x:v>
      </x:c>
      <x:c r="D30" s="66" t="str">
        <x:v>Verify listed-parcel boundaries, permitted use, utility delivery, site constraints and tenant terms.</x:v>
      </x:c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34" customHeight="1">
      <x:c r="A31" s="2"/>
      <x:c r="B31" s="2"/>
      <x:c r="C31" s="2" t="str">
        <x:v>Review priorities</x:v>
      </x:c>
      <x:c r="D31" s="66" t="str">
        <x:v>Secure construction bids and utility agreements. Test monthly liquidity, reserve requirements and debt sculpting.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34" customHeight="1">
      <x:c r="A32" s="2"/>
      <x:c r="B32" s="2"/>
      <x:c r="C32" s="2" t="str">
        <x:v>Disclaimer</x:v>
      </x:c>
      <x:c r="D32" s="66" t="str">
        <x:v>Educational portfolio work. Not personalized investment advice, a financing commitment or a verified development proposal.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34" customHeight="1">
      <x:c r="A33" s="2"/>
      <x:c r="B33" s="2"/>
      <x:c r="C33" s="2" t="str">
        <x:v>Version</x:v>
      </x:c>
      <x:c r="D33" s="66" t="str">
        <x:v>Version 2.0 — October 28, 2026. Listed Virginia parcel; hypothetical 10 MW development.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4" hidden="0" customWidth="1"/>
    <x:col min="4" max="4" width="22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2"/>
      <x:c r="B2" s="2"/>
      <x:c r="C2" s="3" t="str">
        <x:v>Site acquisition and feasibility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2"/>
      <x:c r="B3" s="2"/>
      <x:c r="C3" s="2" t="str">
        <x:v>10 MW site case. Midlothian, Virginia. Illustrative annual forecast in USD.</x:v>
      </x:c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2" customHeight="1">
      <x:c r="A4" s="2"/>
      <x:c r="B4" s="2"/>
      <x:c r="C4" s="2" t="str">
        <x:v>16000 Midlothian Turnpike, Midlothian, VA 23113</x:v>
      </x:c>
      <x:c r="D4" s="4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2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/>
      <x:c r="B8" s="2"/>
      <x:c r="C8" s="2" t="str">
        <x:v>Gross acres</x:v>
      </x:c>
      <x:c r="D8" s="82" t="n">
        <x:v>28.693</x:v>
      </x:c>
      <x:c r="E8" s="2"/>
      <x:c r="F8" s="2" t="str">
        <x:v>Acreage and asking price: broker listing / offering flyer (S7–S8).</x:v>
      </x:c>
      <x:c r="G8" s="2"/>
      <x:c r="H8" s="2"/>
      <x:c r="I8" s="2"/>
      <x:c r="J8" s="2"/>
      <x:c r="K8" s="2"/>
      <x:c r="L8" s="2"/>
      <x:c r="M8" s="2"/>
      <x:c r="N8" s="2"/>
    </x:row>
    <x:row r="9" ht="22" customHeight="1">
      <x:c r="A9" s="2"/>
      <x:c r="B9" s="2"/>
      <x:c r="C9" s="2" t="str">
        <x:v>Asking price</x:v>
      </x:c>
      <x:c r="D9" s="22" t="n">
        <x:v>9800000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2" customHeight="1">
      <x:c r="A10" s="2"/>
      <x:c r="B10" s="2"/>
      <x:c r="C10" s="2" t="str">
        <x:v>Closing allowance / price</x:v>
      </x:c>
      <x:c r="D10" s="19" t="n">
        <x:v>0.02</x:v>
      </x:c>
      <x:c r="E10" s="2"/>
      <x:c r="F10" s="2" t="str">
        <x:v>All other cost and area inputs are analyst assumptions.</x:v>
      </x:c>
      <x:c r="G10" s="2"/>
      <x:c r="H10" s="2"/>
      <x:c r="I10" s="2"/>
      <x:c r="J10" s="2"/>
      <x:c r="K10" s="2"/>
      <x:c r="L10" s="2"/>
      <x:c r="M10" s="2"/>
      <x:c r="N10" s="2"/>
    </x:row>
    <x:row r="11" ht="22" customHeight="1">
      <x:c r="A11" s="2"/>
      <x:c r="B11" s="2"/>
      <x:c r="C11" s="2" t="str">
        <x:v>Diligence allowance</x:v>
      </x:c>
      <x:c r="D11" s="22" t="n">
        <x:v>150000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2" customHeight="1">
      <x:c r="A12" s="2"/>
      <x:c r="B12" s="2"/>
      <x:c r="C12" s="2" t="str">
        <x:v>Enabling works allowance</x:v>
      </x:c>
      <x:c r="D12" s="22" t="n">
        <x:v>750000</x:v>
      </x:c>
      <x:c r="E12" s="2"/>
      <x:c r="F12" s="2" t="str">
        <x:v>No binding electricity, data-center entitlement or site control.</x:v>
      </x:c>
      <x:c r="G12" s="2"/>
      <x:c r="H12" s="2"/>
      <x:c r="I12" s="2"/>
      <x:c r="J12" s="2"/>
      <x:c r="K12" s="2"/>
      <x:c r="L12" s="2"/>
      <x:c r="M12" s="2"/>
      <x:c r="N12" s="2"/>
    </x:row>
    <x:row r="13" ht="22" customHeight="1">
      <x:c r="A13" s="2"/>
      <x:c r="B13" s="2"/>
      <x:c r="C13" s="2" t="str">
        <x:v>Annual carrying allowance / price</x:v>
      </x:c>
      <x:c r="D13" s="19" t="n">
        <x:v>0.01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2" customHeight="1">
      <x:c r="A14" s="2"/>
      <x:c r="B14" s="2"/>
      <x:c r="C14" s="2" t="str">
        <x:v>Carry years</x:v>
      </x:c>
      <x:c r="D14" s="12" t="n">
        <x:v>2</x:v>
      </x:c>
      <x:c r="E14" s="2"/>
      <x:c r="F14" s="2" t="str">
        <x:v>Two years of carry are included in the fixed initial site basis.</x:v>
      </x:c>
      <x:c r="G14" s="2"/>
      <x:c r="H14" s="2"/>
      <x:c r="I14" s="2"/>
      <x:c r="J14" s="2"/>
      <x:c r="K14" s="2"/>
      <x:c r="L14" s="2"/>
      <x:c r="M14" s="2"/>
      <x:c r="N14" s="2"/>
    </x:row>
    <x:row r="15" ht="22" customHeight="1">
      <x:c r="A15" s="2"/>
      <x:c r="B15" s="2"/>
      <x:c r="C15" s="2" t="str">
        <x:v>Square feet / acre</x:v>
      </x:c>
      <x:c r="D15" s="12" t="n">
        <x:v>43560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2" customHeight="1">
      <x:c r="A16" s="2"/>
      <x:c r="B16" s="2"/>
      <x:c r="C16" s="2" t="str">
        <x:v>Developable share</x:v>
      </x:c>
      <x:c r="D16" s="19" t="n">
        <x:v>0.7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2" customHeight="1">
      <x:c r="A17" s="2"/>
      <x:c r="B17" s="2"/>
      <x:c r="C17" s="2" t="str">
        <x:v>Building footprint planning SF</x:v>
      </x:c>
      <x:c r="D17" s="81" t="n">
        <x:v>150000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2" customHeight="1">
      <x:c r="A20" s="2"/>
      <x:c r="B20" s="2"/>
      <x:c r="C20" s="2" t="str">
        <x:v>Asking price / gross acre</x:v>
      </x:c>
      <x:c r="D20" s="45" t="n">
        <x:f>D9/D8</x:f>
        <x:v>341546.7187118809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2" customHeight="1">
      <x:c r="A21" s="2"/>
      <x:c r="B21" s="2"/>
      <x:c r="C21" s="2" t="str">
        <x:v>Assumed developable acres</x:v>
      </x:c>
      <x:c r="D21" s="83" t="n">
        <x:f>D8*D16</x:f>
        <x:v>20.0851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2" customHeight="1">
      <x:c r="A22" s="2"/>
      <x:c r="B22" s="2"/>
      <x:c r="C22" s="2" t="str">
        <x:v>Building footprint / developable area</x:v>
      </x:c>
      <x:c r="D22" s="41" t="n">
        <x:f>D17/(D21*D15)</x:f>
        <x:v>0.17144680239575097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2" customHeight="1">
      <x:c r="A23" s="2"/>
      <x:c r="B23" s="2"/>
      <x:c r="C23" s="2" t="str">
        <x:v>Total site acquisition and enabling basis</x:v>
      </x:c>
      <x:c r="D23" s="45" t="n">
        <x:f>D9*(1+D10)+D11+D12+D9*D13*D14</x:f>
        <x:v>11092000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2" customHeight="1">
      <x:c r="A24" s="2"/>
      <x:c r="B24" s="2"/>
      <x:c r="C24" s="2" t="str">
        <x:v>Site basis / developable acre</x:v>
      </x:c>
      <x:c r="D24" s="45" t="n">
        <x:f>D23/D21</x:f>
        <x:v>552250.1755032337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2" customHeight="1">
      <x:c r="A26" s="2"/>
      <x:c r="B26" s="2"/>
      <x:c r="C26" s="2" t="str">
        <x:v>Year 0: acquire + closing + diligence + half of total carry.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2" customHeight="1">
      <x:c r="A27" s="2"/>
      <x:c r="B27" s="2"/>
      <x:c r="C27" s="2" t="str">
        <x:v>Year 1: enabling works + remaining carry. No land resale added to exit value.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2" customHeight="1">
      <x:c r="A29" s="2"/>
      <x:c r="B29" s="2"/>
      <x:c r="C29" s="2" t="str">
        <x:v>Model year</x:v>
      </x:c>
      <x:c r="D29" s="2" t="n">
        <x:v>0</x:v>
      </x:c>
      <x:c r="E29" s="2" t="n">
        <x:v>1</x:v>
      </x:c>
      <x:c r="F29" s="2" t="n">
        <x:v>2</x:v>
      </x:c>
      <x:c r="G29" s="2" t="n">
        <x:v>3</x:v>
      </x:c>
      <x:c r="H29" s="2" t="n">
        <x:v>4</x:v>
      </x:c>
      <x:c r="I29" s="2" t="n">
        <x:v>5</x:v>
      </x:c>
      <x:c r="J29" s="2" t="n">
        <x:v>6</x:v>
      </x:c>
      <x:c r="K29" s="2" t="n">
        <x:v>7</x:v>
      </x:c>
      <x:c r="L29" s="2" t="n">
        <x:v>8</x:v>
      </x:c>
      <x:c r="M29" s="2" t="n">
        <x:v>9</x:v>
      </x:c>
      <x:c r="N29" s="2" t="n">
        <x:v>10</x:v>
      </x:c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2" customHeight="1">
      <x:c r="A31" s="2"/>
      <x:c r="B31" s="2"/>
      <x:c r="C31" s="2" t="str">
        <x:v>Site cash expenditure</x:v>
      </x:c>
      <x:c r="D31" s="45" t="n">
        <x:f>$D$9*(1+$D$10)+$D$11+$D$9*$D$13*$D$14/2</x:f>
        <x:v>10244000</x:v>
      </x:c>
      <x:c r="E31" s="45" t="n">
        <x:f>$D$12+$D$9*$D$13*$D$14/2</x:f>
        <x:v>848000</x:v>
      </x:c>
      <x:c r="F31" s="45" t="n">
        <x:f>0</x:f>
        <x:v>0</x:v>
      </x:c>
      <x:c r="G31" s="45" t="n">
        <x:f>0</x:f>
        <x:v>0</x:v>
      </x:c>
      <x:c r="H31" s="45" t="n">
        <x:f>0</x:f>
        <x:v>0</x:v>
      </x:c>
      <x:c r="I31" s="45" t="n">
        <x:f>0</x:f>
        <x:v>0</x:v>
      </x:c>
      <x:c r="J31" s="45" t="n">
        <x:f>0</x:f>
        <x:v>0</x:v>
      </x:c>
      <x:c r="K31" s="45" t="n">
        <x:f>0</x:f>
        <x:v>0</x:v>
      </x:c>
      <x:c r="L31" s="45" t="n">
        <x:f>0</x:f>
        <x:v>0</x:v>
      </x:c>
      <x:c r="M31" s="45" t="n">
        <x:f>0</x:f>
        <x:v>0</x:v>
      </x:c>
      <x:c r="N31" s="45" t="n">
        <x:f>0</x:f>
        <x:v>0</x:v>
      </x:c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2" customHeight="1">
      <x:c r="A34" s="2"/>
      <x:c r="B34" s="2"/>
      <x:c r="C34" s="2" t="str">
        <x:v>70% usable area and 150,000 SF footprint are feasibility screens, not a site plan.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2" customHeight="1">
      <x:c r="A35" s="2"/>
      <x:c r="B35" s="2"/>
      <x:c r="C35" s="2" t="str">
        <x:v>Confirm title, access, easements, zoning, environmental, geotechnical, flood and utilities.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2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2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2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2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2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2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2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2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2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2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</x:sheetData>
  <x:dataValidations count="10">
    <x:dataValidation type="decimal" operator="between" sqref="D8">
      <x:formula1>0</x:formula1>
      <x:formula2>1000000000</x:formula2>
    </x:dataValidation>
    <x:dataValidation type="decimal" operator="between" sqref="D9">
      <x:formula1>0</x:formula1>
      <x:formula2>1000000000</x:formula2>
    </x:dataValidation>
    <x:dataValidation type="decimal" operator="between" sqref="D10">
      <x:formula1>0</x:formula1>
      <x:formula2>1000000000</x:formula2>
    </x:dataValidation>
    <x:dataValidation type="decimal" operator="between" sqref="D11">
      <x:formula1>0</x:formula1>
      <x:formula2>1000000000</x:formula2>
    </x:dataValidation>
    <x:dataValidation type="decimal" operator="between" sqref="D12">
      <x:formula1>0</x:formula1>
      <x:formula2>1000000000</x:formula2>
    </x:dataValidation>
    <x:dataValidation type="decimal" operator="between" sqref="D13">
      <x:formula1>0</x:formula1>
      <x:formula2>1000000000</x:formula2>
    </x:dataValidation>
    <x:dataValidation type="decimal" operator="between" sqref="D14">
      <x:formula1>0</x:formula1>
      <x:formula2>1000000000</x:formula2>
    </x:dataValidation>
    <x:dataValidation type="decimal" operator="between" sqref="D15">
      <x:formula1>0</x:formula1>
      <x:formula2>1000000000</x:formula2>
    </x:dataValidation>
    <x:dataValidation type="decimal" operator="between" sqref="D16">
      <x:formula1>0</x:formula1>
      <x:formula2>1000000000</x:formula2>
    </x:dataValidation>
    <x:dataValidation type="decimal" operator="between" sqref="D17">
      <x:formula1>0</x:formula1>
      <x:formula2>1000000000</x:formula2>
    </x:dataValidation>
  </x:dataValidations>
  <x:pageMargins left="0.7" right="0.7" top="0.75" bottom="0.75" header="0.3" footer="0.3"/>
</x:worksheet>
</file>